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11670" activeTab="2"/>
  </bookViews>
  <sheets>
    <sheet name="1 кв.2017" sheetId="1" r:id="rId1"/>
    <sheet name="2 кв.2017 (2)" sheetId="4" r:id="rId2"/>
    <sheet name="3 кв.2017 (3)" sheetId="5" r:id="rId3"/>
  </sheets>
  <calcPr calcId="125725"/>
</workbook>
</file>

<file path=xl/calcChain.xml><?xml version="1.0" encoding="utf-8"?>
<calcChain xmlns="http://schemas.openxmlformats.org/spreadsheetml/2006/main">
  <c r="L70" i="5"/>
  <c r="G29"/>
  <c r="L29" s="1"/>
  <c r="G30"/>
  <c r="L30"/>
  <c r="K68" i="4"/>
  <c r="J77" i="5" l="1"/>
  <c r="K12"/>
  <c r="K147"/>
  <c r="K125"/>
  <c r="K120"/>
  <c r="K14"/>
  <c r="K78"/>
  <c r="J18"/>
  <c r="J17"/>
  <c r="J100"/>
  <c r="K68"/>
  <c r="K98"/>
  <c r="K76"/>
  <c r="K86"/>
  <c r="K9"/>
  <c r="J110"/>
  <c r="J68"/>
  <c r="J76" l="1"/>
  <c r="J12"/>
  <c r="J147"/>
  <c r="J120"/>
  <c r="J125"/>
  <c r="J105"/>
  <c r="J55"/>
  <c r="J24"/>
  <c r="D76"/>
  <c r="D78"/>
  <c r="D77"/>
  <c r="D115"/>
  <c r="D117"/>
  <c r="D114"/>
  <c r="D118"/>
  <c r="D81"/>
  <c r="D85"/>
  <c r="D83"/>
  <c r="J78"/>
  <c r="J14"/>
  <c r="J121"/>
  <c r="J113"/>
  <c r="G117"/>
  <c r="G116"/>
  <c r="L116" s="1"/>
  <c r="L117"/>
  <c r="J28"/>
  <c r="G28" s="1"/>
  <c r="L28" s="1"/>
  <c r="D113" l="1"/>
  <c r="J95"/>
  <c r="J98"/>
  <c r="J96"/>
  <c r="J94" l="1"/>
  <c r="J107"/>
  <c r="J86"/>
  <c r="J23"/>
  <c r="D14" i="4"/>
  <c r="D12"/>
  <c r="D9"/>
  <c r="D34" i="1"/>
  <c r="D38"/>
  <c r="D29"/>
  <c r="D33"/>
  <c r="D43"/>
  <c r="J9" i="5"/>
  <c r="G9" s="1"/>
  <c r="J122"/>
  <c r="J89"/>
  <c r="I147"/>
  <c r="I12"/>
  <c r="I95"/>
  <c r="I124"/>
  <c r="I120"/>
  <c r="I68"/>
  <c r="G68" s="1"/>
  <c r="L68" s="1"/>
  <c r="I33"/>
  <c r="I24"/>
  <c r="L9" l="1"/>
  <c r="I76"/>
  <c r="G76" s="1"/>
  <c r="G120"/>
  <c r="G147"/>
  <c r="I85"/>
  <c r="G110"/>
  <c r="G95"/>
  <c r="G114"/>
  <c r="G115"/>
  <c r="G118"/>
  <c r="G122"/>
  <c r="G124"/>
  <c r="G125"/>
  <c r="G109"/>
  <c r="G111"/>
  <c r="G96"/>
  <c r="G97"/>
  <c r="G98"/>
  <c r="G99"/>
  <c r="G101"/>
  <c r="G102"/>
  <c r="G103"/>
  <c r="G104"/>
  <c r="G105"/>
  <c r="G106"/>
  <c r="G77"/>
  <c r="G78"/>
  <c r="G80"/>
  <c r="G81"/>
  <c r="G82"/>
  <c r="G83"/>
  <c r="G85"/>
  <c r="G86"/>
  <c r="G87"/>
  <c r="G90"/>
  <c r="G91"/>
  <c r="G92"/>
  <c r="G93"/>
  <c r="I146"/>
  <c r="I42"/>
  <c r="G53"/>
  <c r="G54"/>
  <c r="G55"/>
  <c r="G45"/>
  <c r="G46"/>
  <c r="G47"/>
  <c r="G48"/>
  <c r="G49"/>
  <c r="G42"/>
  <c r="G33"/>
  <c r="G34"/>
  <c r="G35"/>
  <c r="G36"/>
  <c r="G37"/>
  <c r="G38"/>
  <c r="G40"/>
  <c r="G22"/>
  <c r="G24"/>
  <c r="G25"/>
  <c r="G26"/>
  <c r="G19"/>
  <c r="G20"/>
  <c r="G13"/>
  <c r="G12"/>
  <c r="L12" s="1"/>
  <c r="I100"/>
  <c r="G100" s="1"/>
  <c r="I89"/>
  <c r="G89" s="1"/>
  <c r="I88"/>
  <c r="G88" s="1"/>
  <c r="I32"/>
  <c r="G32" s="1"/>
  <c r="L32" s="1"/>
  <c r="I39"/>
  <c r="G39" s="1"/>
  <c r="I121"/>
  <c r="G121" s="1"/>
  <c r="I107"/>
  <c r="G107" s="1"/>
  <c r="I23"/>
  <c r="G23" s="1"/>
  <c r="L23" s="1"/>
  <c r="I17"/>
  <c r="G17" s="1"/>
  <c r="L17" s="1"/>
  <c r="I18"/>
  <c r="G18" s="1"/>
  <c r="L18" s="1"/>
  <c r="I123"/>
  <c r="G123" s="1"/>
  <c r="L147"/>
  <c r="I14"/>
  <c r="G14" s="1"/>
  <c r="L14" s="1"/>
  <c r="E149"/>
  <c r="D147"/>
  <c r="K146"/>
  <c r="K145" s="1"/>
  <c r="J146"/>
  <c r="J145" s="1"/>
  <c r="D146"/>
  <c r="D145"/>
  <c r="F144"/>
  <c r="L144" s="1"/>
  <c r="D144"/>
  <c r="E126"/>
  <c r="L125"/>
  <c r="L124"/>
  <c r="L122"/>
  <c r="J119"/>
  <c r="K119"/>
  <c r="I119"/>
  <c r="I112" s="1"/>
  <c r="D119"/>
  <c r="D112" s="1"/>
  <c r="L118"/>
  <c r="L115"/>
  <c r="L114"/>
  <c r="K113"/>
  <c r="K112" s="1"/>
  <c r="L111"/>
  <c r="D110"/>
  <c r="L109"/>
  <c r="K108"/>
  <c r="J108"/>
  <c r="I108"/>
  <c r="D108"/>
  <c r="L106"/>
  <c r="L104"/>
  <c r="L103"/>
  <c r="L102"/>
  <c r="L101"/>
  <c r="L99"/>
  <c r="L98"/>
  <c r="L97"/>
  <c r="L96"/>
  <c r="K94"/>
  <c r="D94"/>
  <c r="L93"/>
  <c r="L92"/>
  <c r="L91"/>
  <c r="L90"/>
  <c r="L87"/>
  <c r="L86"/>
  <c r="J84"/>
  <c r="J79" s="1"/>
  <c r="L85"/>
  <c r="K84"/>
  <c r="I84"/>
  <c r="D84"/>
  <c r="D79" s="1"/>
  <c r="L83"/>
  <c r="L82"/>
  <c r="L81"/>
  <c r="L80"/>
  <c r="L78"/>
  <c r="K75"/>
  <c r="L77"/>
  <c r="J75"/>
  <c r="D75"/>
  <c r="D68"/>
  <c r="E56"/>
  <c r="J52"/>
  <c r="J43" s="1"/>
  <c r="L55"/>
  <c r="L53"/>
  <c r="D53"/>
  <c r="D52" s="1"/>
  <c r="K52"/>
  <c r="K43" s="1"/>
  <c r="I52"/>
  <c r="L49"/>
  <c r="L48"/>
  <c r="L47"/>
  <c r="L46"/>
  <c r="L45"/>
  <c r="D44"/>
  <c r="L42"/>
  <c r="D42"/>
  <c r="K41"/>
  <c r="J41"/>
  <c r="I41"/>
  <c r="G41" s="1"/>
  <c r="D41"/>
  <c r="L40"/>
  <c r="F40"/>
  <c r="E39"/>
  <c r="E38"/>
  <c r="L38" s="1"/>
  <c r="L37"/>
  <c r="L36"/>
  <c r="F35"/>
  <c r="L35" s="1"/>
  <c r="L34"/>
  <c r="L33"/>
  <c r="J31"/>
  <c r="K31"/>
  <c r="D31"/>
  <c r="D29"/>
  <c r="J27"/>
  <c r="K27"/>
  <c r="I27"/>
  <c r="D27"/>
  <c r="F26"/>
  <c r="F25"/>
  <c r="L25" s="1"/>
  <c r="L24"/>
  <c r="K21"/>
  <c r="F22"/>
  <c r="L22" s="1"/>
  <c r="J21"/>
  <c r="D21"/>
  <c r="F20"/>
  <c r="F19"/>
  <c r="L19" s="1"/>
  <c r="J16"/>
  <c r="K16"/>
  <c r="I16"/>
  <c r="D16"/>
  <c r="D15" s="1"/>
  <c r="D14"/>
  <c r="F13"/>
  <c r="L13" s="1"/>
  <c r="D12"/>
  <c r="K11"/>
  <c r="J11"/>
  <c r="I11"/>
  <c r="G11" s="1"/>
  <c r="L11" s="1"/>
  <c r="D9"/>
  <c r="K113" i="4"/>
  <c r="K77"/>
  <c r="F149" i="5" l="1"/>
  <c r="D11"/>
  <c r="L39"/>
  <c r="G52"/>
  <c r="G16"/>
  <c r="L16" s="1"/>
  <c r="G27"/>
  <c r="D43"/>
  <c r="D10" s="1"/>
  <c r="L88"/>
  <c r="L100"/>
  <c r="L107"/>
  <c r="I31"/>
  <c r="G31" s="1"/>
  <c r="L31" s="1"/>
  <c r="L52"/>
  <c r="L89"/>
  <c r="L121"/>
  <c r="L123"/>
  <c r="I94"/>
  <c r="D74"/>
  <c r="G146"/>
  <c r="L146" s="1"/>
  <c r="G94"/>
  <c r="G84"/>
  <c r="L105"/>
  <c r="I145"/>
  <c r="L120"/>
  <c r="G119"/>
  <c r="L110"/>
  <c r="L95"/>
  <c r="G108"/>
  <c r="L108" s="1"/>
  <c r="L41"/>
  <c r="K79"/>
  <c r="K74" s="1"/>
  <c r="L84"/>
  <c r="L27"/>
  <c r="J15"/>
  <c r="J10" s="1"/>
  <c r="K15"/>
  <c r="K10"/>
  <c r="L76"/>
  <c r="I21"/>
  <c r="G21" s="1"/>
  <c r="I44"/>
  <c r="G44" s="1"/>
  <c r="I75"/>
  <c r="G75" s="1"/>
  <c r="G113"/>
  <c r="K123" i="4"/>
  <c r="K118"/>
  <c r="K28"/>
  <c r="K32"/>
  <c r="K86"/>
  <c r="F116"/>
  <c r="L116" s="1"/>
  <c r="D113"/>
  <c r="K14"/>
  <c r="K92"/>
  <c r="K120"/>
  <c r="K119"/>
  <c r="K145"/>
  <c r="K12"/>
  <c r="K11" s="1"/>
  <c r="K87"/>
  <c r="K78"/>
  <c r="K95"/>
  <c r="K76"/>
  <c r="K97"/>
  <c r="K24"/>
  <c r="K100"/>
  <c r="K33"/>
  <c r="D9" i="1"/>
  <c r="G149" i="5" l="1"/>
  <c r="L119"/>
  <c r="G145"/>
  <c r="I149"/>
  <c r="J149" s="1"/>
  <c r="K149" s="1"/>
  <c r="L113"/>
  <c r="J112"/>
  <c r="G112" s="1"/>
  <c r="I43"/>
  <c r="L44"/>
  <c r="L21"/>
  <c r="I15"/>
  <c r="L94"/>
  <c r="I79"/>
  <c r="L75"/>
  <c r="K105" i="4"/>
  <c r="K88"/>
  <c r="K110"/>
  <c r="K122"/>
  <c r="K144"/>
  <c r="K143" s="1"/>
  <c r="K31"/>
  <c r="K9"/>
  <c r="K17"/>
  <c r="K18"/>
  <c r="K104"/>
  <c r="K39"/>
  <c r="F39" s="1"/>
  <c r="E39"/>
  <c r="D31"/>
  <c r="K23"/>
  <c r="F92"/>
  <c r="L92" s="1"/>
  <c r="L39" l="1"/>
  <c r="G43" i="5"/>
  <c r="L43" s="1"/>
  <c r="L145"/>
  <c r="G15"/>
  <c r="L15" s="1"/>
  <c r="I10"/>
  <c r="G79"/>
  <c r="I74"/>
  <c r="L112"/>
  <c r="J74"/>
  <c r="D84" i="4"/>
  <c r="I56" i="5" l="1"/>
  <c r="J56" s="1"/>
  <c r="K56" s="1"/>
  <c r="G10"/>
  <c r="G74"/>
  <c r="L79"/>
  <c r="I126"/>
  <c r="J126" s="1"/>
  <c r="K126" s="1"/>
  <c r="L74"/>
  <c r="K91" i="4"/>
  <c r="L10" i="5" l="1"/>
  <c r="G56"/>
  <c r="L56" s="1"/>
  <c r="G126"/>
  <c r="L126" s="1"/>
  <c r="K85" i="4"/>
  <c r="K84" s="1"/>
  <c r="J38"/>
  <c r="J33"/>
  <c r="F38"/>
  <c r="E38"/>
  <c r="D42"/>
  <c r="D31" i="1"/>
  <c r="D11"/>
  <c r="E46"/>
  <c r="L46" s="1"/>
  <c r="E38"/>
  <c r="L38" s="1"/>
  <c r="L38" i="4" l="1"/>
  <c r="D41" i="1"/>
  <c r="D53" i="4"/>
  <c r="D52" s="1"/>
  <c r="D29"/>
  <c r="J142" l="1"/>
  <c r="F142"/>
  <c r="L142" s="1"/>
  <c r="E147"/>
  <c r="E124"/>
  <c r="F46"/>
  <c r="F47"/>
  <c r="F48"/>
  <c r="F49"/>
  <c r="L46"/>
  <c r="L47"/>
  <c r="L48"/>
  <c r="L49"/>
  <c r="J115"/>
  <c r="J95"/>
  <c r="J145"/>
  <c r="J144" s="1"/>
  <c r="F115"/>
  <c r="L115" s="1"/>
  <c r="E56"/>
  <c r="J9"/>
  <c r="J100"/>
  <c r="J123"/>
  <c r="J86"/>
  <c r="J89"/>
  <c r="J107"/>
  <c r="J122"/>
  <c r="J119"/>
  <c r="J120"/>
  <c r="J105"/>
  <c r="F105" s="1"/>
  <c r="L105" s="1"/>
  <c r="D44"/>
  <c r="I44"/>
  <c r="D145"/>
  <c r="D144" s="1"/>
  <c r="I45"/>
  <c r="F45" s="1"/>
  <c r="L45" s="1"/>
  <c r="J68"/>
  <c r="J55"/>
  <c r="J118"/>
  <c r="J28"/>
  <c r="J110"/>
  <c r="J36"/>
  <c r="J32"/>
  <c r="J31" s="1"/>
  <c r="J12"/>
  <c r="J24"/>
  <c r="J85"/>
  <c r="J114"/>
  <c r="J113" s="1"/>
  <c r="J17"/>
  <c r="J18"/>
  <c r="J77"/>
  <c r="J30"/>
  <c r="J27" s="1"/>
  <c r="J34"/>
  <c r="J23"/>
  <c r="J14"/>
  <c r="I55"/>
  <c r="I12"/>
  <c r="I95"/>
  <c r="F95" s="1"/>
  <c r="L95" s="1"/>
  <c r="I33"/>
  <c r="I32"/>
  <c r="I28"/>
  <c r="I42"/>
  <c r="F80"/>
  <c r="L80" s="1"/>
  <c r="F81"/>
  <c r="L81" s="1"/>
  <c r="F82"/>
  <c r="L82" s="1"/>
  <c r="F83"/>
  <c r="L83" s="1"/>
  <c r="F86"/>
  <c r="L86" s="1"/>
  <c r="F87"/>
  <c r="L87" s="1"/>
  <c r="F88"/>
  <c r="L88" s="1"/>
  <c r="F89"/>
  <c r="L89" s="1"/>
  <c r="F90"/>
  <c r="L90" s="1"/>
  <c r="F93"/>
  <c r="L93" s="1"/>
  <c r="F96"/>
  <c r="L96" s="1"/>
  <c r="F97"/>
  <c r="L97" s="1"/>
  <c r="F98"/>
  <c r="L98" s="1"/>
  <c r="F99"/>
  <c r="L99" s="1"/>
  <c r="F100"/>
  <c r="L100" s="1"/>
  <c r="F101"/>
  <c r="L101" s="1"/>
  <c r="F102"/>
  <c r="L102" s="1"/>
  <c r="F103"/>
  <c r="L103" s="1"/>
  <c r="F104"/>
  <c r="L104" s="1"/>
  <c r="F106"/>
  <c r="L106" s="1"/>
  <c r="F107"/>
  <c r="L107" s="1"/>
  <c r="F109"/>
  <c r="L109" s="1"/>
  <c r="F111"/>
  <c r="L111" s="1"/>
  <c r="F114"/>
  <c r="L114" s="1"/>
  <c r="F121"/>
  <c r="L121" s="1"/>
  <c r="F122"/>
  <c r="L122" s="1"/>
  <c r="F123"/>
  <c r="L123" s="1"/>
  <c r="F70"/>
  <c r="F28"/>
  <c r="F12"/>
  <c r="F13"/>
  <c r="F19"/>
  <c r="F20"/>
  <c r="F22"/>
  <c r="F25"/>
  <c r="F26"/>
  <c r="F30"/>
  <c r="F32"/>
  <c r="F35"/>
  <c r="F40"/>
  <c r="F42"/>
  <c r="L42" s="1"/>
  <c r="F55"/>
  <c r="I119"/>
  <c r="F119" s="1"/>
  <c r="L119" s="1"/>
  <c r="I37"/>
  <c r="F37" s="1"/>
  <c r="L37" s="1"/>
  <c r="I77"/>
  <c r="F77" s="1"/>
  <c r="L77" s="1"/>
  <c r="I24"/>
  <c r="F24" s="1"/>
  <c r="L24" s="1"/>
  <c r="I91"/>
  <c r="F91" s="1"/>
  <c r="L91" s="1"/>
  <c r="I85"/>
  <c r="F85" s="1"/>
  <c r="L85" s="1"/>
  <c r="I78"/>
  <c r="F78" s="1"/>
  <c r="L78" s="1"/>
  <c r="I76"/>
  <c r="F76" s="1"/>
  <c r="L76" s="1"/>
  <c r="I110"/>
  <c r="F110" s="1"/>
  <c r="L110" s="1"/>
  <c r="I118"/>
  <c r="F118" s="1"/>
  <c r="L118" s="1"/>
  <c r="I68"/>
  <c r="F68" s="1"/>
  <c r="L68" s="1"/>
  <c r="I53"/>
  <c r="F53" s="1"/>
  <c r="L53" s="1"/>
  <c r="I120"/>
  <c r="F120" s="1"/>
  <c r="L120" s="1"/>
  <c r="I34"/>
  <c r="I31" s="1"/>
  <c r="I36"/>
  <c r="F36" s="1"/>
  <c r="L36" s="1"/>
  <c r="I29"/>
  <c r="F29" s="1"/>
  <c r="I14"/>
  <c r="I11" s="1"/>
  <c r="I23"/>
  <c r="F23" s="1"/>
  <c r="L23" s="1"/>
  <c r="I17"/>
  <c r="F17" s="1"/>
  <c r="L17" s="1"/>
  <c r="I18"/>
  <c r="F18" s="1"/>
  <c r="L18" s="1"/>
  <c r="I9"/>
  <c r="F9" s="1"/>
  <c r="L9" s="1"/>
  <c r="K101" i="1"/>
  <c r="K117" i="4"/>
  <c r="K112" s="1"/>
  <c r="J117"/>
  <c r="D117"/>
  <c r="D112"/>
  <c r="D110"/>
  <c r="D108" s="1"/>
  <c r="K108"/>
  <c r="J108"/>
  <c r="I108"/>
  <c r="K94"/>
  <c r="J94"/>
  <c r="I94"/>
  <c r="D94"/>
  <c r="J84"/>
  <c r="I84"/>
  <c r="K75"/>
  <c r="J75"/>
  <c r="D75"/>
  <c r="L70"/>
  <c r="D70"/>
  <c r="D68"/>
  <c r="L55"/>
  <c r="K52"/>
  <c r="J52"/>
  <c r="J43" s="1"/>
  <c r="I52"/>
  <c r="K43"/>
  <c r="D43"/>
  <c r="K41"/>
  <c r="J41"/>
  <c r="I41"/>
  <c r="D41"/>
  <c r="L40"/>
  <c r="L35"/>
  <c r="L32"/>
  <c r="L30"/>
  <c r="L29"/>
  <c r="D27"/>
  <c r="K27"/>
  <c r="L28"/>
  <c r="L25"/>
  <c r="K21"/>
  <c r="L22"/>
  <c r="J21"/>
  <c r="D21"/>
  <c r="L19"/>
  <c r="K16"/>
  <c r="J16"/>
  <c r="I16"/>
  <c r="D16"/>
  <c r="L13"/>
  <c r="L12"/>
  <c r="J11"/>
  <c r="D11"/>
  <c r="I76" i="1"/>
  <c r="D76"/>
  <c r="D101"/>
  <c r="D27"/>
  <c r="D45"/>
  <c r="D44" s="1"/>
  <c r="D42" s="1"/>
  <c r="K109"/>
  <c r="K110"/>
  <c r="E101"/>
  <c r="L101" s="1"/>
  <c r="K60"/>
  <c r="D85"/>
  <c r="K78"/>
  <c r="K28"/>
  <c r="K33"/>
  <c r="K86"/>
  <c r="K85" s="1"/>
  <c r="K70"/>
  <c r="K68"/>
  <c r="K24"/>
  <c r="K12"/>
  <c r="K87"/>
  <c r="K69"/>
  <c r="K77"/>
  <c r="K80"/>
  <c r="K113"/>
  <c r="K83"/>
  <c r="K89"/>
  <c r="E89" s="1"/>
  <c r="L89" s="1"/>
  <c r="K32"/>
  <c r="K29"/>
  <c r="K37"/>
  <c r="K18"/>
  <c r="K47"/>
  <c r="K22"/>
  <c r="K14"/>
  <c r="K9"/>
  <c r="D60"/>
  <c r="J18"/>
  <c r="E72"/>
  <c r="L72" s="1"/>
  <c r="E73"/>
  <c r="L73" s="1"/>
  <c r="E74"/>
  <c r="L74" s="1"/>
  <c r="E75"/>
  <c r="L75" s="1"/>
  <c r="E79"/>
  <c r="L79" s="1"/>
  <c r="E80"/>
  <c r="L80" s="1"/>
  <c r="E82"/>
  <c r="L82" s="1"/>
  <c r="E83"/>
  <c r="L83" s="1"/>
  <c r="E84"/>
  <c r="L84" s="1"/>
  <c r="E86"/>
  <c r="L86" s="1"/>
  <c r="E88"/>
  <c r="L88" s="1"/>
  <c r="E90"/>
  <c r="L90" s="1"/>
  <c r="E92"/>
  <c r="L92" s="1"/>
  <c r="E93"/>
  <c r="L93" s="1"/>
  <c r="E94"/>
  <c r="L94" s="1"/>
  <c r="E95"/>
  <c r="L95" s="1"/>
  <c r="E96"/>
  <c r="L96" s="1"/>
  <c r="E97"/>
  <c r="L97" s="1"/>
  <c r="E100"/>
  <c r="L100" s="1"/>
  <c r="E102"/>
  <c r="L102" s="1"/>
  <c r="E105"/>
  <c r="L105" s="1"/>
  <c r="E106"/>
  <c r="L106" s="1"/>
  <c r="E107"/>
  <c r="L107" s="1"/>
  <c r="E113"/>
  <c r="L113" s="1"/>
  <c r="E35"/>
  <c r="E36"/>
  <c r="E39"/>
  <c r="E43"/>
  <c r="E26"/>
  <c r="E23"/>
  <c r="L23" s="1"/>
  <c r="E25"/>
  <c r="L25" s="1"/>
  <c r="E20"/>
  <c r="E17"/>
  <c r="L17" s="1"/>
  <c r="E18"/>
  <c r="L18" s="1"/>
  <c r="E19"/>
  <c r="L19" s="1"/>
  <c r="E13"/>
  <c r="L13" s="1"/>
  <c r="J70"/>
  <c r="J45"/>
  <c r="J109"/>
  <c r="J110"/>
  <c r="J78"/>
  <c r="E78" s="1"/>
  <c r="L78" s="1"/>
  <c r="J77"/>
  <c r="E77" s="1"/>
  <c r="L77" s="1"/>
  <c r="J81"/>
  <c r="E81" s="1"/>
  <c r="L81" s="1"/>
  <c r="J112"/>
  <c r="E112" s="1"/>
  <c r="L112" s="1"/>
  <c r="J114"/>
  <c r="E114" s="1"/>
  <c r="L114" s="1"/>
  <c r="J91"/>
  <c r="E91" s="1"/>
  <c r="L91" s="1"/>
  <c r="J111"/>
  <c r="E111" s="1"/>
  <c r="L111" s="1"/>
  <c r="J33"/>
  <c r="E33" s="1"/>
  <c r="L33" s="1"/>
  <c r="J32"/>
  <c r="E32" s="1"/>
  <c r="L32" s="1"/>
  <c r="J37"/>
  <c r="J12"/>
  <c r="J60"/>
  <c r="J30"/>
  <c r="J28"/>
  <c r="J69"/>
  <c r="J68"/>
  <c r="J24"/>
  <c r="E24" s="1"/>
  <c r="L24" s="1"/>
  <c r="J47"/>
  <c r="L35"/>
  <c r="L36"/>
  <c r="L39"/>
  <c r="J98"/>
  <c r="J29"/>
  <c r="J34"/>
  <c r="E34" s="1"/>
  <c r="L34" s="1"/>
  <c r="J14"/>
  <c r="K44"/>
  <c r="J44"/>
  <c r="I47"/>
  <c r="E47" s="1"/>
  <c r="L47" s="1"/>
  <c r="J108"/>
  <c r="J103" s="1"/>
  <c r="K27"/>
  <c r="I28"/>
  <c r="E28" s="1"/>
  <c r="J22"/>
  <c r="J9"/>
  <c r="E9" s="1"/>
  <c r="L9" s="1"/>
  <c r="J11"/>
  <c r="J67"/>
  <c r="K67"/>
  <c r="J99"/>
  <c r="K99"/>
  <c r="K108"/>
  <c r="K103" s="1"/>
  <c r="E104"/>
  <c r="L104" s="1"/>
  <c r="D99"/>
  <c r="I99"/>
  <c r="D108"/>
  <c r="I60"/>
  <c r="I87"/>
  <c r="I85" s="1"/>
  <c r="I109"/>
  <c r="E109" s="1"/>
  <c r="L109" s="1"/>
  <c r="I110"/>
  <c r="E110" s="1"/>
  <c r="L110" s="1"/>
  <c r="I70"/>
  <c r="I68"/>
  <c r="J42"/>
  <c r="K42"/>
  <c r="J40"/>
  <c r="K40"/>
  <c r="K31"/>
  <c r="J21"/>
  <c r="K21"/>
  <c r="J16"/>
  <c r="K16"/>
  <c r="K11"/>
  <c r="I16"/>
  <c r="I41"/>
  <c r="I40" s="1"/>
  <c r="I14"/>
  <c r="E14" s="1"/>
  <c r="L14" s="1"/>
  <c r="I30"/>
  <c r="E30" s="1"/>
  <c r="J143" i="4" l="1"/>
  <c r="F143" s="1"/>
  <c r="L143" s="1"/>
  <c r="F144"/>
  <c r="L144" s="1"/>
  <c r="F113"/>
  <c r="L113" s="1"/>
  <c r="J112"/>
  <c r="K76" i="1"/>
  <c r="D143" i="4"/>
  <c r="D142" s="1"/>
  <c r="F145"/>
  <c r="L145" s="1"/>
  <c r="J147"/>
  <c r="K147" s="1"/>
  <c r="F147"/>
  <c r="I43"/>
  <c r="F43" s="1"/>
  <c r="L43" s="1"/>
  <c r="F44"/>
  <c r="L44" s="1"/>
  <c r="F34"/>
  <c r="L34" s="1"/>
  <c r="F16"/>
  <c r="D15"/>
  <c r="D10" s="1"/>
  <c r="D79"/>
  <c r="D74" s="1"/>
  <c r="F31"/>
  <c r="L31" s="1"/>
  <c r="F108"/>
  <c r="L108" s="1"/>
  <c r="F14"/>
  <c r="L14" s="1"/>
  <c r="F33"/>
  <c r="L33" s="1"/>
  <c r="J79"/>
  <c r="J74" s="1"/>
  <c r="F52"/>
  <c r="L52" s="1"/>
  <c r="F94"/>
  <c r="L94" s="1"/>
  <c r="F41"/>
  <c r="L41" s="1"/>
  <c r="F11"/>
  <c r="L11" s="1"/>
  <c r="L16"/>
  <c r="K15"/>
  <c r="K10" s="1"/>
  <c r="I117"/>
  <c r="F117" s="1"/>
  <c r="L117" s="1"/>
  <c r="I21"/>
  <c r="F21" s="1"/>
  <c r="I27"/>
  <c r="I75"/>
  <c r="F75" s="1"/>
  <c r="L75" s="1"/>
  <c r="I79"/>
  <c r="F84"/>
  <c r="L84" s="1"/>
  <c r="E40" i="1"/>
  <c r="L40" s="1"/>
  <c r="I67"/>
  <c r="J76"/>
  <c r="E76" s="1"/>
  <c r="L76" s="1"/>
  <c r="J85"/>
  <c r="E85" s="1"/>
  <c r="L85" s="1"/>
  <c r="E99"/>
  <c r="L30"/>
  <c r="E41"/>
  <c r="L41" s="1"/>
  <c r="E98"/>
  <c r="L98" s="1"/>
  <c r="E87"/>
  <c r="L87" s="1"/>
  <c r="L28"/>
  <c r="J31"/>
  <c r="E16"/>
  <c r="L16" s="1"/>
  <c r="J71"/>
  <c r="J66" s="1"/>
  <c r="J27"/>
  <c r="J15" s="1"/>
  <c r="K15"/>
  <c r="K10" s="1"/>
  <c r="I71"/>
  <c r="I108"/>
  <c r="E108" s="1"/>
  <c r="L108" s="1"/>
  <c r="I37"/>
  <c r="I31" s="1"/>
  <c r="E31" s="1"/>
  <c r="L31" s="1"/>
  <c r="J15" i="4" l="1"/>
  <c r="J10" s="1"/>
  <c r="F27"/>
  <c r="L27" s="1"/>
  <c r="K79"/>
  <c r="K74" s="1"/>
  <c r="L21"/>
  <c r="I15"/>
  <c r="I112"/>
  <c r="I103" i="1"/>
  <c r="I66" s="1"/>
  <c r="E37"/>
  <c r="L37" s="1"/>
  <c r="K71"/>
  <c r="J10"/>
  <c r="I12"/>
  <c r="I45"/>
  <c r="I29"/>
  <c r="I22"/>
  <c r="D16"/>
  <c r="D40"/>
  <c r="D21"/>
  <c r="D15" l="1"/>
  <c r="D10" s="1"/>
  <c r="I115"/>
  <c r="J115" s="1"/>
  <c r="F79" i="4"/>
  <c r="L79" s="1"/>
  <c r="F112"/>
  <c r="L112" s="1"/>
  <c r="F15"/>
  <c r="L15" s="1"/>
  <c r="I10"/>
  <c r="I74"/>
  <c r="E103" i="1"/>
  <c r="L103" s="1"/>
  <c r="I21"/>
  <c r="E21" s="1"/>
  <c r="L21" s="1"/>
  <c r="E22"/>
  <c r="L22" s="1"/>
  <c r="I44"/>
  <c r="E45"/>
  <c r="L45" s="1"/>
  <c r="K66"/>
  <c r="K115" s="1"/>
  <c r="I27"/>
  <c r="E27" s="1"/>
  <c r="L27" s="1"/>
  <c r="E29"/>
  <c r="L29"/>
  <c r="I11"/>
  <c r="E11" s="1"/>
  <c r="L11" s="1"/>
  <c r="E12"/>
  <c r="L12" s="1"/>
  <c r="E71"/>
  <c r="L71" s="1"/>
  <c r="D71"/>
  <c r="E66"/>
  <c r="L66" s="1"/>
  <c r="E68"/>
  <c r="L68" s="1"/>
  <c r="E69"/>
  <c r="L69" s="1"/>
  <c r="E70"/>
  <c r="L70" s="1"/>
  <c r="E67"/>
  <c r="L67" s="1"/>
  <c r="L99"/>
  <c r="D67"/>
  <c r="E134"/>
  <c r="L134" s="1"/>
  <c r="E135"/>
  <c r="L135" s="1"/>
  <c r="E136"/>
  <c r="L136" s="1"/>
  <c r="E133"/>
  <c r="L133" s="1"/>
  <c r="E62"/>
  <c r="D62" s="1"/>
  <c r="E60"/>
  <c r="L60" s="1"/>
  <c r="E44" l="1"/>
  <c r="L44" s="1"/>
  <c r="I42"/>
  <c r="F74" i="4"/>
  <c r="F10"/>
  <c r="E42" i="1"/>
  <c r="L42" s="1"/>
  <c r="I15"/>
  <c r="E115"/>
  <c r="L115" s="1"/>
  <c r="L62"/>
  <c r="D103"/>
  <c r="D66" s="1"/>
  <c r="L74" i="4" l="1"/>
  <c r="F124"/>
  <c r="L124" s="1"/>
  <c r="L10"/>
  <c r="F56"/>
  <c r="L56" s="1"/>
  <c r="I124"/>
  <c r="J124" s="1"/>
  <c r="K124" s="1"/>
  <c r="I10" i="1"/>
  <c r="E15"/>
  <c r="L15" s="1"/>
  <c r="I56" i="4" l="1"/>
  <c r="J56" s="1"/>
  <c r="K56" s="1"/>
  <c r="I48" i="1"/>
  <c r="J48" s="1"/>
  <c r="K48" s="1"/>
  <c r="E10"/>
  <c r="L10" s="1"/>
  <c r="E48" l="1"/>
  <c r="L48" s="1"/>
  <c r="D70" i="5"/>
</calcChain>
</file>

<file path=xl/sharedStrings.xml><?xml version="1.0" encoding="utf-8"?>
<sst xmlns="http://schemas.openxmlformats.org/spreadsheetml/2006/main" count="636" uniqueCount="166">
  <si>
    <t>МАУ ДО "ДООЦ"Березка"</t>
  </si>
  <si>
    <t>Бюджет</t>
  </si>
  <si>
    <t>№ п/п</t>
  </si>
  <si>
    <t>Параметры</t>
  </si>
  <si>
    <t>Подстатья</t>
  </si>
  <si>
    <t>Плановое значение</t>
  </si>
  <si>
    <t xml:space="preserve"> Факт за 1квартал</t>
  </si>
  <si>
    <t>Факт за 2 квартал</t>
  </si>
  <si>
    <t>Факт за 3 квартал</t>
  </si>
  <si>
    <t>Факт за 4 квартал</t>
  </si>
  <si>
    <t>в т.ч. по кварталам</t>
  </si>
  <si>
    <t>с начала года</t>
  </si>
  <si>
    <t>годовое</t>
  </si>
  <si>
    <t xml:space="preserve"> руб.</t>
  </si>
  <si>
    <t>руб</t>
  </si>
  <si>
    <t>руб.</t>
  </si>
  <si>
    <t>Остаток средств на начало года</t>
  </si>
  <si>
    <t>Субсидии местного бюджета (Всего:)</t>
  </si>
  <si>
    <t>Расходы , всего:</t>
  </si>
  <si>
    <t>3.1.</t>
  </si>
  <si>
    <t>Расходы на оплату труда с начисл.</t>
  </si>
  <si>
    <t>3.1.1.</t>
  </si>
  <si>
    <t>Заработная плата</t>
  </si>
  <si>
    <t>3.1.2.</t>
  </si>
  <si>
    <t>Прочие выплаты</t>
  </si>
  <si>
    <t>31.1.</t>
  </si>
  <si>
    <t>Начисления на выплаты по оплате труда</t>
  </si>
  <si>
    <t>4.</t>
  </si>
  <si>
    <t>Оплата работ, услуг</t>
  </si>
  <si>
    <t>4.1.</t>
  </si>
  <si>
    <t>Услуги связи, в т.ч.</t>
  </si>
  <si>
    <t xml:space="preserve">Услуги связи </t>
  </si>
  <si>
    <t>Интернет</t>
  </si>
  <si>
    <t>Междугородняя связь</t>
  </si>
  <si>
    <t>4.2.</t>
  </si>
  <si>
    <t>Транспортные услуги</t>
  </si>
  <si>
    <t>4.3.</t>
  </si>
  <si>
    <t>Коммунальные услуги</t>
  </si>
  <si>
    <t>Теплоснабжение</t>
  </si>
  <si>
    <t>Водоснабжение</t>
  </si>
  <si>
    <t>Электроснабжение</t>
  </si>
  <si>
    <t>Вывоз нечистот</t>
  </si>
  <si>
    <t>4.4.</t>
  </si>
  <si>
    <t>4.5.</t>
  </si>
  <si>
    <t>Работы, услуги по содерж.имущества</t>
  </si>
  <si>
    <t>4.6.</t>
  </si>
  <si>
    <t>Прочие работы, услуги в т.ч.:</t>
  </si>
  <si>
    <t>Обслуж.бухг.программы</t>
  </si>
  <si>
    <t>Повышение квалификации</t>
  </si>
  <si>
    <t>Предрейсовый осмотр водит.</t>
  </si>
  <si>
    <t>5.</t>
  </si>
  <si>
    <t>Прочие расходы</t>
  </si>
  <si>
    <t>Плата за негат.окруж.среда</t>
  </si>
  <si>
    <t>6.</t>
  </si>
  <si>
    <t>Поступление нефинансовых активов</t>
  </si>
  <si>
    <t>6.1.</t>
  </si>
  <si>
    <t>Увеличение стоимости основ.средств</t>
  </si>
  <si>
    <t>6.2.</t>
  </si>
  <si>
    <t>Увеличение стоимости матер.запасов</t>
  </si>
  <si>
    <t>Остаток ср-в на конец месяца</t>
  </si>
  <si>
    <t>Руководитель                                       Пиджакова Г.А.</t>
  </si>
  <si>
    <t>Гл.бухгалтер                                         Малахова Ю.В.</t>
  </si>
  <si>
    <t>Внебюджет</t>
  </si>
  <si>
    <t>Факт за 1 квартал</t>
  </si>
  <si>
    <t>Остаток средств</t>
  </si>
  <si>
    <t>Поступления Всего:</t>
  </si>
  <si>
    <t>в том числе:</t>
  </si>
  <si>
    <t>2.1.</t>
  </si>
  <si>
    <t>Доходы от оказания платных услуг:</t>
  </si>
  <si>
    <t>их них:</t>
  </si>
  <si>
    <t>от физических лиц</t>
  </si>
  <si>
    <t>от юридических лиц</t>
  </si>
  <si>
    <t>3.1.3.</t>
  </si>
  <si>
    <t>Начисления на выплаты по оплате</t>
  </si>
  <si>
    <t>Услуги связи</t>
  </si>
  <si>
    <t>Арендная плата за пользование</t>
  </si>
  <si>
    <t>Договора ГПХ(стирка,гл.белья,вывоз мус)</t>
  </si>
  <si>
    <t>Обслуживание водоочистителя,конд.</t>
  </si>
  <si>
    <t>Поверка весов</t>
  </si>
  <si>
    <t>Тех.обслуж.автомобиля</t>
  </si>
  <si>
    <t>Заправка и ремонт комп,оборудования</t>
  </si>
  <si>
    <t>Договора ГПХ(Осл.комп,ремонт здания, врем. работн)</t>
  </si>
  <si>
    <t>Охрана КТС,Бассеин</t>
  </si>
  <si>
    <t>Проект нормативов</t>
  </si>
  <si>
    <t xml:space="preserve">Пров. Мероприятий. </t>
  </si>
  <si>
    <t>Страхование детей</t>
  </si>
  <si>
    <t>Членский взнос</t>
  </si>
  <si>
    <t>Увеличение стоим. основ.средств</t>
  </si>
  <si>
    <t>Увеличение стоим.матер.запасов</t>
  </si>
  <si>
    <t>Продукты питания</t>
  </si>
  <si>
    <t>Приобретение строй материал.зап.</t>
  </si>
  <si>
    <t>Приобретение зап.частей к автомобилю</t>
  </si>
  <si>
    <t>Бензин</t>
  </si>
  <si>
    <t>Медикаменты, спец.одежда</t>
  </si>
  <si>
    <t>Остаток средст на кон.месяца</t>
  </si>
  <si>
    <t xml:space="preserve"> </t>
  </si>
  <si>
    <t>Внебюджет. Субсидий на иные цели ЦЗН.</t>
  </si>
  <si>
    <t>Врем раб места для безраб. граждан</t>
  </si>
  <si>
    <t xml:space="preserve">                                           Отчет финансово-хозяйственной деятельности за 1 квартал 2017 год.</t>
  </si>
  <si>
    <t>Отчет финансово-хозяйственной деятельности за 1 квартал 2017 год.</t>
  </si>
  <si>
    <t>январь</t>
  </si>
  <si>
    <t>февраль</t>
  </si>
  <si>
    <t>март</t>
  </si>
  <si>
    <t>Обслуживание АПС, обслужив. видеонабл.</t>
  </si>
  <si>
    <t>Обслуживание теплового счётчика</t>
  </si>
  <si>
    <t>Обслуживание радиомодема</t>
  </si>
  <si>
    <t>Ремонт комп. оборуд. Заправка картриджа</t>
  </si>
  <si>
    <t>Страховые платежи по ОСАГО</t>
  </si>
  <si>
    <t>Технич.обслуж. и ремонт автомобиля</t>
  </si>
  <si>
    <t>Лабороторные исследования</t>
  </si>
  <si>
    <t>Плата за нег. возд. на окруж. среду</t>
  </si>
  <si>
    <t>Обслуж. вод, заправка картриджа</t>
  </si>
  <si>
    <t>Замена мусорных контейнеров</t>
  </si>
  <si>
    <t>Договора ГПХ</t>
  </si>
  <si>
    <t xml:space="preserve">                                                                                                   </t>
  </si>
  <si>
    <t>Обслуж. теплового счетчика, Услуги монтаж, демонтаж, прив. в соотв. узла учёта.</t>
  </si>
  <si>
    <t>Приобретение хоз и канц, .товаров, матер. Запасы.</t>
  </si>
  <si>
    <t>ГСМ, масло, тосол, медикаменты</t>
  </si>
  <si>
    <t>Повышение квалифик.,гигиен. Обуч. и аттест. Работ, печать логотипа</t>
  </si>
  <si>
    <t>Обслуживание АПС, устан. Видеонабл., сбор, хр. и утил. ртутьсод. ламп., ремонт быт. Техники</t>
  </si>
  <si>
    <t>Ремонт быт. техники, услуги монтаж. работы радиомодема ОКО</t>
  </si>
  <si>
    <t>Приобретение канц.и хоз. товаров</t>
  </si>
  <si>
    <t xml:space="preserve"> Охрана КТС. Устан. Тахом., обслуж. Радиомодема</t>
  </si>
  <si>
    <t>Оплата единого минимального налога, пени</t>
  </si>
  <si>
    <t>Дератизация помещений, Обсл узла учёта тепл.энергии</t>
  </si>
  <si>
    <t>Лабороторные исслед., предрейс. Осм.вод.</t>
  </si>
  <si>
    <t>Обслуж.бух.программы, изг. Бланков строг. Отч.</t>
  </si>
  <si>
    <t>Арендная плата за пользование имущества</t>
  </si>
  <si>
    <t>апрель</t>
  </si>
  <si>
    <t xml:space="preserve">май </t>
  </si>
  <si>
    <t>июнь</t>
  </si>
  <si>
    <t>май</t>
  </si>
  <si>
    <t>Оплата единого минимального налога, пени, государств. пошлина</t>
  </si>
  <si>
    <t>Договора ГПХ, проведение мероприятий</t>
  </si>
  <si>
    <t>Обслуж.бухг.программы, изготовл. бланков строгой  отчетности</t>
  </si>
  <si>
    <t>Обслуж. теплового счетчика, Услуги монтаж, демонтаж, прив. в соотв. узла учёта, тепловой энергии  и обслуживание.дерат. Помещений, замена окон</t>
  </si>
  <si>
    <t>Кресло мешок</t>
  </si>
  <si>
    <t>Предрейсовый осмотр водит., переоб. автом.</t>
  </si>
  <si>
    <t xml:space="preserve">Монитор </t>
  </si>
  <si>
    <t>Обслуживание АПС, устан. Видеонабл.,зап.части.  Сбор, хр. и утил. ртутьсод. ламп., ремонт быт. Техники, услуги по обсл. и рем. сист. электроснабж.</t>
  </si>
  <si>
    <t>Видеокаиера</t>
  </si>
  <si>
    <t>Видеорегистратор гибридный</t>
  </si>
  <si>
    <t>Видеокамера</t>
  </si>
  <si>
    <t>Жесткий диск</t>
  </si>
  <si>
    <t>Шкафы</t>
  </si>
  <si>
    <t>Пров. Мероприятий., информ. Услуги</t>
  </si>
  <si>
    <t xml:space="preserve">                                           Отчет финансово-хозяйственной деятельности за 2 квартал 2017 год.</t>
  </si>
  <si>
    <t>Отчет финансово-хозяйственной деятельности за 2 квартал 2017 год.</t>
  </si>
  <si>
    <t>Установка системы видеонаблюдения</t>
  </si>
  <si>
    <t>Запасные части для системы видеонаблюдения</t>
  </si>
  <si>
    <t xml:space="preserve"> Охрана КТС. Устан. Тахом., обслуж. Радиомодема, монтаж и демонтаж. </t>
  </si>
  <si>
    <t>Обслуживание АПС, поверка электр. весов</t>
  </si>
  <si>
    <t>Изготовление флажков, печать, наклейки</t>
  </si>
  <si>
    <t>Ремонт бытовой техники, переосв. Огнетуш.</t>
  </si>
  <si>
    <t>облучатель-рециркулятор "Кронт" Дезар-2,4</t>
  </si>
  <si>
    <t>июль</t>
  </si>
  <si>
    <t>август</t>
  </si>
  <si>
    <t>сентябрь</t>
  </si>
  <si>
    <t>Тех.обслуж.автомоб, диагностика автобуса</t>
  </si>
  <si>
    <t>Обслуж. теплового счетчика, Услуги монтаж, демонтаж, прив. в соотв. узла учёта, тепловой энергии  и обслуживание.дерат. помещений, замена окон</t>
  </si>
  <si>
    <t>Обслуживание АПС, устан. видеонабл.,зап.части.  Сбор, хр. и утил. ртутьсод. ламп., ремонт быт. техники, услуги по обсл. и рем. сист. электроснабж.</t>
  </si>
  <si>
    <t>Медикаменты, спец.одежда, дез. средства</t>
  </si>
  <si>
    <t>Вентилятор</t>
  </si>
  <si>
    <t>Бойлер</t>
  </si>
  <si>
    <t xml:space="preserve">                                           Отчет финансово-хозяйственной деятельности за 3 квартал 2017 год.</t>
  </si>
  <si>
    <t>Отчет финансово-хозяйственной деятельности за 3 квартал 2017 год.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</si>
</sst>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sz val="8"/>
      <color indexed="8"/>
      <name val="Arial Cyr"/>
      <family val="2"/>
      <charset val="204"/>
    </font>
    <font>
      <b/>
      <sz val="8"/>
      <color indexed="8"/>
      <name val="Arial Cyr"/>
      <family val="2"/>
      <charset val="204"/>
    </font>
    <font>
      <b/>
      <sz val="8"/>
      <color indexed="8"/>
      <name val="Arial Cyr"/>
      <charset val="204"/>
    </font>
    <font>
      <b/>
      <sz val="8"/>
      <name val="Arial"/>
      <family val="2"/>
      <charset val="204"/>
    </font>
    <font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2" fillId="0" borderId="1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4" fontId="4" fillId="0" borderId="1" xfId="1" applyNumberFormat="1" applyFont="1" applyBorder="1"/>
    <xf numFmtId="0" fontId="2" fillId="0" borderId="1" xfId="1" applyFont="1" applyBorder="1"/>
    <xf numFmtId="0" fontId="4" fillId="0" borderId="1" xfId="1" applyFont="1" applyBorder="1" applyAlignment="1"/>
    <xf numFmtId="0" fontId="4" fillId="0" borderId="2" xfId="1" applyFont="1" applyBorder="1" applyAlignment="1">
      <alignment horizontal="center"/>
    </xf>
    <xf numFmtId="0" fontId="5" fillId="0" borderId="1" xfId="1" applyFont="1" applyBorder="1"/>
    <xf numFmtId="2" fontId="4" fillId="0" borderId="1" xfId="1" applyNumberFormat="1" applyFont="1" applyBorder="1"/>
    <xf numFmtId="2" fontId="2" fillId="0" borderId="1" xfId="1" applyNumberFormat="1" applyFont="1" applyBorder="1"/>
    <xf numFmtId="0" fontId="5" fillId="0" borderId="0" xfId="1" applyFont="1" applyBorder="1"/>
    <xf numFmtId="0" fontId="7" fillId="0" borderId="1" xfId="1" applyFont="1" applyBorder="1"/>
    <xf numFmtId="2" fontId="5" fillId="0" borderId="1" xfId="1" applyNumberFormat="1" applyFont="1" applyBorder="1"/>
    <xf numFmtId="2" fontId="7" fillId="0" borderId="1" xfId="1" applyNumberFormat="1" applyFont="1" applyBorder="1"/>
    <xf numFmtId="2" fontId="5" fillId="0" borderId="0" xfId="1" applyNumberFormat="1" applyFont="1" applyBorder="1"/>
    <xf numFmtId="2" fontId="7" fillId="0" borderId="1" xfId="1" applyNumberFormat="1" applyFont="1" applyBorder="1" applyAlignment="1">
      <alignment horizontal="right"/>
    </xf>
    <xf numFmtId="2" fontId="5" fillId="0" borderId="1" xfId="1" applyNumberFormat="1" applyFont="1" applyBorder="1" applyAlignment="1">
      <alignment horizontal="right"/>
    </xf>
    <xf numFmtId="1" fontId="7" fillId="0" borderId="1" xfId="1" applyNumberFormat="1" applyFont="1" applyBorder="1"/>
    <xf numFmtId="0" fontId="9" fillId="0" borderId="1" xfId="1" applyFont="1" applyBorder="1"/>
    <xf numFmtId="2" fontId="8" fillId="0" borderId="1" xfId="1" applyNumberFormat="1" applyFont="1" applyBorder="1"/>
    <xf numFmtId="0" fontId="8" fillId="0" borderId="1" xfId="1" applyFont="1" applyBorder="1"/>
    <xf numFmtId="0" fontId="10" fillId="0" borderId="1" xfId="1" applyFont="1" applyBorder="1"/>
    <xf numFmtId="2" fontId="4" fillId="0" borderId="1" xfId="1" applyNumberFormat="1" applyFont="1" applyBorder="1" applyAlignment="1">
      <alignment horizontal="right"/>
    </xf>
    <xf numFmtId="0" fontId="11" fillId="0" borderId="1" xfId="1" applyFont="1" applyBorder="1"/>
    <xf numFmtId="0" fontId="2" fillId="0" borderId="1" xfId="1" applyFont="1" applyBorder="1" applyAlignment="1">
      <alignment wrapText="1"/>
    </xf>
    <xf numFmtId="0" fontId="2" fillId="0" borderId="2" xfId="1" applyFont="1" applyBorder="1" applyAlignment="1"/>
    <xf numFmtId="2" fontId="5" fillId="2" borderId="1" xfId="1" applyNumberFormat="1" applyFont="1" applyFill="1" applyBorder="1"/>
    <xf numFmtId="2" fontId="4" fillId="2" borderId="1" xfId="1" applyNumberFormat="1" applyFont="1" applyFill="1" applyBorder="1"/>
    <xf numFmtId="2" fontId="5" fillId="2" borderId="1" xfId="1" applyNumberFormat="1" applyFont="1" applyFill="1" applyBorder="1" applyAlignment="1">
      <alignment horizontal="right"/>
    </xf>
    <xf numFmtId="2" fontId="5" fillId="3" borderId="1" xfId="1" applyNumberFormat="1" applyFont="1" applyFill="1" applyBorder="1"/>
    <xf numFmtId="2" fontId="1" fillId="0" borderId="0" xfId="1" applyNumberFormat="1"/>
    <xf numFmtId="0" fontId="2" fillId="0" borderId="5" xfId="1" applyFont="1" applyBorder="1" applyAlignment="1">
      <alignment horizontal="center"/>
    </xf>
    <xf numFmtId="2" fontId="7" fillId="2" borderId="1" xfId="1" applyNumberFormat="1" applyFont="1" applyFill="1" applyBorder="1"/>
    <xf numFmtId="0" fontId="2" fillId="0" borderId="5" xfId="1" applyFont="1" applyBorder="1" applyAlignment="1">
      <alignment horizontal="center"/>
    </xf>
    <xf numFmtId="0" fontId="2" fillId="0" borderId="2" xfId="1" applyFont="1" applyBorder="1" applyAlignment="1"/>
    <xf numFmtId="0" fontId="2" fillId="0" borderId="2" xfId="1" applyFont="1" applyBorder="1" applyAlignment="1">
      <alignment horizontal="center"/>
    </xf>
    <xf numFmtId="0" fontId="7" fillId="0" borderId="1" xfId="1" applyFont="1" applyBorder="1" applyAlignment="1">
      <alignment wrapText="1"/>
    </xf>
    <xf numFmtId="2" fontId="10" fillId="0" borderId="1" xfId="1" applyNumberFormat="1" applyFont="1" applyBorder="1"/>
    <xf numFmtId="2" fontId="7" fillId="3" borderId="1" xfId="1" applyNumberFormat="1" applyFont="1" applyFill="1" applyBorder="1"/>
    <xf numFmtId="2" fontId="12" fillId="0" borderId="1" xfId="1" applyNumberFormat="1" applyFont="1" applyBorder="1"/>
    <xf numFmtId="2" fontId="0" fillId="0" borderId="0" xfId="0" applyNumberFormat="1"/>
    <xf numFmtId="0" fontId="2" fillId="0" borderId="2" xfId="1" applyFont="1" applyBorder="1" applyAlignment="1"/>
    <xf numFmtId="0" fontId="2" fillId="0" borderId="2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9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5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/>
    <xf numFmtId="0" fontId="2" fillId="0" borderId="2" xfId="1" applyFont="1" applyBorder="1" applyAlignment="1"/>
    <xf numFmtId="0" fontId="2" fillId="0" borderId="9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0" xfId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1"/>
  <sheetViews>
    <sheetView topLeftCell="A146" workbookViewId="0">
      <selection activeCell="L44" sqref="L44"/>
    </sheetView>
  </sheetViews>
  <sheetFormatPr defaultRowHeight="15"/>
  <cols>
    <col min="1" max="1" width="6.5703125" customWidth="1"/>
    <col min="2" max="2" width="30.28515625" customWidth="1"/>
    <col min="3" max="3" width="6.7109375" customWidth="1"/>
    <col min="4" max="4" width="10" customWidth="1"/>
    <col min="5" max="5" width="9.7109375" customWidth="1"/>
    <col min="6" max="6" width="9.140625" customWidth="1"/>
    <col min="7" max="7" width="9.42578125" customWidth="1"/>
    <col min="8" max="8" width="8.42578125" customWidth="1"/>
    <col min="9" max="9" width="10" customWidth="1"/>
    <col min="10" max="11" width="9.140625" customWidth="1"/>
    <col min="12" max="12" width="10.140625" customWidth="1"/>
    <col min="14" max="14" width="10.5703125" bestFit="1" customWidth="1"/>
  </cols>
  <sheetData>
    <row r="1" spans="1:14">
      <c r="A1" s="66" t="s">
        <v>98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4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4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4">
      <c r="A4" s="53" t="s">
        <v>2</v>
      </c>
      <c r="B4" s="55" t="s">
        <v>3</v>
      </c>
      <c r="C4" s="57" t="s">
        <v>4</v>
      </c>
      <c r="D4" s="59" t="s">
        <v>5</v>
      </c>
      <c r="E4" s="61" t="s">
        <v>6</v>
      </c>
      <c r="F4" s="48" t="s">
        <v>7</v>
      </c>
      <c r="G4" s="48" t="s">
        <v>8</v>
      </c>
      <c r="H4" s="48" t="s">
        <v>9</v>
      </c>
      <c r="I4" s="50" t="s">
        <v>10</v>
      </c>
      <c r="J4" s="51"/>
      <c r="K4" s="51"/>
      <c r="L4" s="52"/>
    </row>
    <row r="5" spans="1:14">
      <c r="A5" s="54"/>
      <c r="B5" s="56"/>
      <c r="C5" s="58"/>
      <c r="D5" s="60"/>
      <c r="E5" s="62"/>
      <c r="F5" s="49"/>
      <c r="G5" s="49"/>
      <c r="H5" s="49"/>
      <c r="I5" s="35" t="s">
        <v>100</v>
      </c>
      <c r="J5" s="35" t="s">
        <v>101</v>
      </c>
      <c r="K5" s="35" t="s">
        <v>102</v>
      </c>
      <c r="L5" s="4" t="s">
        <v>11</v>
      </c>
    </row>
    <row r="6" spans="1:14">
      <c r="A6" s="2"/>
      <c r="B6" s="3"/>
      <c r="C6" s="2"/>
      <c r="D6" s="29" t="s">
        <v>12</v>
      </c>
      <c r="E6" s="2"/>
      <c r="F6" s="2"/>
      <c r="G6" s="2"/>
      <c r="H6" s="2"/>
      <c r="I6" s="4" t="s">
        <v>13</v>
      </c>
      <c r="J6" s="4" t="s">
        <v>14</v>
      </c>
      <c r="K6" s="4" t="s">
        <v>14</v>
      </c>
      <c r="L6" s="4" t="s">
        <v>15</v>
      </c>
    </row>
    <row r="7" spans="1:14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4">
      <c r="A8" s="6">
        <v>1</v>
      </c>
      <c r="B8" s="27" t="s">
        <v>16</v>
      </c>
      <c r="C8" s="6"/>
      <c r="D8" s="12">
        <v>3695.9</v>
      </c>
      <c r="E8" s="6"/>
      <c r="F8" s="6"/>
      <c r="G8" s="6"/>
      <c r="H8" s="6"/>
      <c r="I8" s="6"/>
      <c r="J8" s="6"/>
      <c r="K8" s="6"/>
      <c r="L8" s="6"/>
    </row>
    <row r="9" spans="1:14">
      <c r="A9" s="6">
        <v>2</v>
      </c>
      <c r="B9" s="6" t="s">
        <v>17</v>
      </c>
      <c r="C9" s="6">
        <v>180</v>
      </c>
      <c r="D9" s="31">
        <f>5053000</f>
        <v>5053000</v>
      </c>
      <c r="E9" s="12">
        <f>I9+J9+K9</f>
        <v>1259328</v>
      </c>
      <c r="F9" s="12"/>
      <c r="G9" s="12"/>
      <c r="H9" s="12"/>
      <c r="I9" s="12">
        <v>479000</v>
      </c>
      <c r="J9" s="12">
        <f>384000</f>
        <v>384000</v>
      </c>
      <c r="K9" s="12">
        <f>396328</f>
        <v>396328</v>
      </c>
      <c r="L9" s="12">
        <f>E9+F9+G9+H9</f>
        <v>1259328</v>
      </c>
    </row>
    <row r="10" spans="1:14">
      <c r="A10" s="6">
        <v>3</v>
      </c>
      <c r="B10" s="6" t="s">
        <v>18</v>
      </c>
      <c r="C10" s="6">
        <v>200</v>
      </c>
      <c r="D10" s="31">
        <f>D11+D15+D40+D42</f>
        <v>5485195.8000000007</v>
      </c>
      <c r="E10" s="12">
        <f>I10+J10+K10</f>
        <v>1259359.8499999999</v>
      </c>
      <c r="F10" s="12"/>
      <c r="G10" s="12"/>
      <c r="H10" s="12"/>
      <c r="I10" s="12">
        <f>I11+I15+I40+I42</f>
        <v>230370.47</v>
      </c>
      <c r="J10" s="12">
        <f>J11+J15+J40+J42</f>
        <v>590263.21</v>
      </c>
      <c r="K10" s="12">
        <f>K11+K15+K40+K42</f>
        <v>438726.17</v>
      </c>
      <c r="L10" s="12">
        <f>E10+F10+G10+H10</f>
        <v>1259359.8499999999</v>
      </c>
    </row>
    <row r="11" spans="1:14">
      <c r="A11" s="7" t="s">
        <v>19</v>
      </c>
      <c r="B11" s="6" t="s">
        <v>20</v>
      </c>
      <c r="C11" s="6">
        <v>210</v>
      </c>
      <c r="D11" s="12">
        <f>D12+D13+D14</f>
        <v>3450300</v>
      </c>
      <c r="E11" s="12">
        <f t="shared" ref="E11:E20" si="0">I11+J11+K11</f>
        <v>649465.61</v>
      </c>
      <c r="F11" s="12"/>
      <c r="G11" s="12"/>
      <c r="H11" s="12"/>
      <c r="I11" s="12">
        <f>I12+I13+I14</f>
        <v>69344.31</v>
      </c>
      <c r="J11" s="12">
        <f>J12+J13+J14</f>
        <v>294800.25</v>
      </c>
      <c r="K11" s="12">
        <f>K12+K13+K14</f>
        <v>285321.05</v>
      </c>
      <c r="L11" s="12">
        <f t="shared" ref="L11:L13" si="1">E11+F11+G11+H11</f>
        <v>649465.61</v>
      </c>
    </row>
    <row r="12" spans="1:14">
      <c r="A12" s="11" t="s">
        <v>21</v>
      </c>
      <c r="B12" s="11" t="s">
        <v>22</v>
      </c>
      <c r="C12" s="11">
        <v>211</v>
      </c>
      <c r="D12" s="30">
        <v>2650000</v>
      </c>
      <c r="E12" s="12">
        <f t="shared" si="0"/>
        <v>528231.39</v>
      </c>
      <c r="F12" s="16"/>
      <c r="G12" s="16"/>
      <c r="H12" s="16"/>
      <c r="I12" s="30">
        <f>51000+12956.64</f>
        <v>63956.639999999999</v>
      </c>
      <c r="J12" s="30">
        <f>122440.86+981.77+25399+88500</f>
        <v>237321.63</v>
      </c>
      <c r="K12" s="30">
        <f>4352.62+30483.4+3068.15+82876.95+28672+77500</f>
        <v>226953.12</v>
      </c>
      <c r="L12" s="12">
        <f t="shared" si="1"/>
        <v>528231.39</v>
      </c>
    </row>
    <row r="13" spans="1:14">
      <c r="A13" s="11" t="s">
        <v>23</v>
      </c>
      <c r="B13" s="11" t="s">
        <v>24</v>
      </c>
      <c r="C13" s="11">
        <v>212</v>
      </c>
      <c r="D13" s="16">
        <v>0</v>
      </c>
      <c r="E13" s="12">
        <f t="shared" si="0"/>
        <v>0</v>
      </c>
      <c r="F13" s="16"/>
      <c r="G13" s="16"/>
      <c r="H13" s="16"/>
      <c r="I13" s="16"/>
      <c r="J13" s="16"/>
      <c r="K13" s="16"/>
      <c r="L13" s="12">
        <f t="shared" si="1"/>
        <v>0</v>
      </c>
      <c r="N13" s="44"/>
    </row>
    <row r="14" spans="1:14">
      <c r="A14" s="11" t="s">
        <v>25</v>
      </c>
      <c r="B14" s="11" t="s">
        <v>26</v>
      </c>
      <c r="C14" s="11">
        <v>213</v>
      </c>
      <c r="D14" s="30">
        <v>800300</v>
      </c>
      <c r="E14" s="12">
        <f>I14+J14+K14</f>
        <v>121234.22</v>
      </c>
      <c r="F14" s="16"/>
      <c r="G14" s="16"/>
      <c r="H14" s="16"/>
      <c r="I14" s="30">
        <f>4687.67+700</f>
        <v>5387.67</v>
      </c>
      <c r="J14" s="30">
        <f>10737.22+46320.29+421.11</f>
        <v>57478.62</v>
      </c>
      <c r="K14" s="30">
        <f>2220.06+332+44979.8+10427.15+408.92</f>
        <v>58367.93</v>
      </c>
      <c r="L14" s="12">
        <f>E14+F14+G14+H14</f>
        <v>121234.22</v>
      </c>
    </row>
    <row r="15" spans="1:14">
      <c r="A15" s="6" t="s">
        <v>27</v>
      </c>
      <c r="B15" s="6" t="s">
        <v>28</v>
      </c>
      <c r="C15" s="6">
        <v>220</v>
      </c>
      <c r="D15" s="12">
        <f>D16+D21+D27+D31+D42</f>
        <v>1603895.9</v>
      </c>
      <c r="E15" s="12">
        <f t="shared" si="0"/>
        <v>440612.73</v>
      </c>
      <c r="F15" s="12"/>
      <c r="G15" s="12"/>
      <c r="H15" s="12"/>
      <c r="I15" s="12">
        <f>I16+I21+I26+I31+I27</f>
        <v>108163.45</v>
      </c>
      <c r="J15" s="12">
        <f>J16+J21+J26+J31+J27</f>
        <v>207946.15999999997</v>
      </c>
      <c r="K15" s="12">
        <f>K16+K21+K26+K31+K27</f>
        <v>124503.12</v>
      </c>
      <c r="L15" s="12">
        <f>E15+F15+G15+H15</f>
        <v>440612.73</v>
      </c>
    </row>
    <row r="16" spans="1:14">
      <c r="A16" s="11" t="s">
        <v>29</v>
      </c>
      <c r="B16" s="11" t="s">
        <v>30</v>
      </c>
      <c r="C16" s="11">
        <v>221</v>
      </c>
      <c r="D16" s="30">
        <f>D17+D18+D19</f>
        <v>45000</v>
      </c>
      <c r="E16" s="12">
        <f t="shared" si="0"/>
        <v>3726.44</v>
      </c>
      <c r="F16" s="12"/>
      <c r="G16" s="16"/>
      <c r="H16" s="16"/>
      <c r="I16" s="30">
        <f>I17+I18+I19+I20</f>
        <v>0</v>
      </c>
      <c r="J16" s="30">
        <f t="shared" ref="J16:K16" si="2">J17+J18+J19+J20</f>
        <v>1863.22</v>
      </c>
      <c r="K16" s="30">
        <f t="shared" si="2"/>
        <v>1863.22</v>
      </c>
      <c r="L16" s="12">
        <f>E16+F16+G16+H16</f>
        <v>3726.44</v>
      </c>
    </row>
    <row r="17" spans="1:12">
      <c r="A17" s="8"/>
      <c r="B17" s="8" t="s">
        <v>31</v>
      </c>
      <c r="C17" s="8">
        <v>221</v>
      </c>
      <c r="D17" s="13">
        <v>14410</v>
      </c>
      <c r="E17" s="17">
        <f>I17+J17+K17</f>
        <v>0</v>
      </c>
      <c r="F17" s="13"/>
      <c r="G17" s="13"/>
      <c r="H17" s="13"/>
      <c r="I17" s="13"/>
      <c r="J17" s="19"/>
      <c r="K17" s="17"/>
      <c r="L17" s="17">
        <f t="shared" ref="L17:L19" si="3">E17+F17+G17+H17</f>
        <v>0</v>
      </c>
    </row>
    <row r="18" spans="1:12">
      <c r="A18" s="8"/>
      <c r="B18" s="8" t="s">
        <v>32</v>
      </c>
      <c r="C18" s="8">
        <v>221</v>
      </c>
      <c r="D18" s="13">
        <v>27017</v>
      </c>
      <c r="E18" s="17">
        <f t="shared" si="0"/>
        <v>3726.44</v>
      </c>
      <c r="F18" s="13"/>
      <c r="G18" s="13"/>
      <c r="H18" s="13"/>
      <c r="I18" s="13"/>
      <c r="J18" s="19">
        <f>1863.22</f>
        <v>1863.22</v>
      </c>
      <c r="K18" s="17">
        <f>1863.22</f>
        <v>1863.22</v>
      </c>
      <c r="L18" s="17">
        <f t="shared" si="3"/>
        <v>3726.44</v>
      </c>
    </row>
    <row r="19" spans="1:12">
      <c r="A19" s="8"/>
      <c r="B19" s="8" t="s">
        <v>33</v>
      </c>
      <c r="C19" s="8">
        <v>221</v>
      </c>
      <c r="D19" s="13">
        <v>3573</v>
      </c>
      <c r="E19" s="17">
        <f t="shared" si="0"/>
        <v>0</v>
      </c>
      <c r="F19" s="13"/>
      <c r="G19" s="13"/>
      <c r="H19" s="13"/>
      <c r="I19" s="13"/>
      <c r="J19" s="13"/>
      <c r="K19" s="13"/>
      <c r="L19" s="17">
        <f t="shared" si="3"/>
        <v>0</v>
      </c>
    </row>
    <row r="20" spans="1:12">
      <c r="A20" s="11" t="s">
        <v>34</v>
      </c>
      <c r="B20" s="11" t="s">
        <v>35</v>
      </c>
      <c r="C20" s="11">
        <v>222</v>
      </c>
      <c r="D20" s="16">
        <v>0</v>
      </c>
      <c r="E20" s="12">
        <f t="shared" si="0"/>
        <v>0</v>
      </c>
      <c r="F20" s="16"/>
      <c r="G20" s="16"/>
      <c r="H20" s="16"/>
      <c r="I20" s="16">
        <v>0</v>
      </c>
      <c r="J20" s="16">
        <v>0</v>
      </c>
      <c r="K20" s="16">
        <v>0</v>
      </c>
      <c r="L20" s="12">
        <v>0</v>
      </c>
    </row>
    <row r="21" spans="1:12">
      <c r="A21" s="11" t="s">
        <v>36</v>
      </c>
      <c r="B21" s="11" t="s">
        <v>37</v>
      </c>
      <c r="C21" s="11">
        <v>223</v>
      </c>
      <c r="D21" s="30">
        <f>D22+D23+D24+D25+D26</f>
        <v>566000</v>
      </c>
      <c r="E21" s="12">
        <f>I21+J21+K21</f>
        <v>202887.25</v>
      </c>
      <c r="F21" s="12"/>
      <c r="G21" s="16"/>
      <c r="H21" s="16"/>
      <c r="I21" s="30">
        <f>I22+I23+I24+I25+I26</f>
        <v>31636.45</v>
      </c>
      <c r="J21" s="30">
        <f t="shared" ref="J21:K21" si="4">J22+J23+J24+J25+J26</f>
        <v>85864.12</v>
      </c>
      <c r="K21" s="30">
        <f t="shared" si="4"/>
        <v>85386.68</v>
      </c>
      <c r="L21" s="12">
        <f>E21+F21+G21+H21</f>
        <v>202887.25</v>
      </c>
    </row>
    <row r="22" spans="1:12">
      <c r="A22" s="8"/>
      <c r="B22" s="8" t="s">
        <v>38</v>
      </c>
      <c r="C22" s="8">
        <v>223</v>
      </c>
      <c r="D22" s="13">
        <v>361901</v>
      </c>
      <c r="E22" s="17">
        <f>I22+J22+K22</f>
        <v>154998.63</v>
      </c>
      <c r="F22" s="13"/>
      <c r="G22" s="13"/>
      <c r="H22" s="13"/>
      <c r="I22" s="13">
        <f>31636.45</f>
        <v>31636.45</v>
      </c>
      <c r="J22" s="17">
        <f>74509.04</f>
        <v>74509.039999999994</v>
      </c>
      <c r="K22" s="17">
        <f>48853.14</f>
        <v>48853.14</v>
      </c>
      <c r="L22" s="17">
        <f>E22+F22+G22+H22</f>
        <v>154998.63</v>
      </c>
    </row>
    <row r="23" spans="1:12">
      <c r="A23" s="8"/>
      <c r="B23" s="8" t="s">
        <v>39</v>
      </c>
      <c r="C23" s="8">
        <v>223</v>
      </c>
      <c r="D23" s="13">
        <v>24000</v>
      </c>
      <c r="E23" s="17">
        <f t="shared" ref="E23:E26" si="5">I23+J23+K23</f>
        <v>0</v>
      </c>
      <c r="F23" s="13"/>
      <c r="G23" s="13"/>
      <c r="H23" s="13"/>
      <c r="I23" s="13"/>
      <c r="J23" s="17"/>
      <c r="K23" s="17"/>
      <c r="L23" s="17">
        <f t="shared" ref="L23:L25" si="6">E23+F23+G23+H23</f>
        <v>0</v>
      </c>
    </row>
    <row r="24" spans="1:12">
      <c r="A24" s="8"/>
      <c r="B24" s="8" t="s">
        <v>40</v>
      </c>
      <c r="C24" s="8">
        <v>223</v>
      </c>
      <c r="D24" s="13">
        <v>170099</v>
      </c>
      <c r="E24" s="17">
        <f t="shared" si="5"/>
        <v>47888.62</v>
      </c>
      <c r="F24" s="13"/>
      <c r="G24" s="13"/>
      <c r="H24" s="13"/>
      <c r="I24" s="13"/>
      <c r="J24" s="17">
        <f>11355.08</f>
        <v>11355.08</v>
      </c>
      <c r="K24" s="17">
        <f>9700+26833.54</f>
        <v>36533.54</v>
      </c>
      <c r="L24" s="17">
        <f t="shared" si="6"/>
        <v>47888.62</v>
      </c>
    </row>
    <row r="25" spans="1:12">
      <c r="A25" s="8"/>
      <c r="B25" s="8" t="s">
        <v>41</v>
      </c>
      <c r="C25" s="8">
        <v>223</v>
      </c>
      <c r="D25" s="13">
        <v>10000</v>
      </c>
      <c r="E25" s="17">
        <f t="shared" si="5"/>
        <v>0</v>
      </c>
      <c r="F25" s="13"/>
      <c r="G25" s="13"/>
      <c r="H25" s="13"/>
      <c r="I25" s="13"/>
      <c r="J25" s="13"/>
      <c r="K25" s="13"/>
      <c r="L25" s="17">
        <f t="shared" si="6"/>
        <v>0</v>
      </c>
    </row>
    <row r="26" spans="1:12">
      <c r="A26" s="11" t="s">
        <v>42</v>
      </c>
      <c r="B26" s="11" t="s">
        <v>127</v>
      </c>
      <c r="C26" s="11">
        <v>224</v>
      </c>
      <c r="D26" s="16">
        <v>0</v>
      </c>
      <c r="E26" s="17">
        <f t="shared" si="5"/>
        <v>0</v>
      </c>
      <c r="F26" s="13"/>
      <c r="G26" s="11"/>
      <c r="H26" s="11"/>
      <c r="I26" s="16">
        <v>0</v>
      </c>
      <c r="J26" s="16">
        <v>0</v>
      </c>
      <c r="K26" s="16">
        <v>0</v>
      </c>
      <c r="L26" s="17">
        <v>0</v>
      </c>
    </row>
    <row r="27" spans="1:12">
      <c r="A27" s="11" t="s">
        <v>43</v>
      </c>
      <c r="B27" s="11" t="s">
        <v>44</v>
      </c>
      <c r="C27" s="11">
        <v>225</v>
      </c>
      <c r="D27" s="30">
        <f>D28+D29+D30</f>
        <v>252596</v>
      </c>
      <c r="E27" s="12">
        <f>I27+J27+K27</f>
        <v>120216</v>
      </c>
      <c r="F27" s="12"/>
      <c r="G27" s="16"/>
      <c r="H27" s="16"/>
      <c r="I27" s="30">
        <f>I28+I29+I30</f>
        <v>75527</v>
      </c>
      <c r="J27" s="30">
        <f>J28+J29+J30</f>
        <v>35173</v>
      </c>
      <c r="K27" s="30">
        <f>K28+K29+K30</f>
        <v>9516</v>
      </c>
      <c r="L27" s="12">
        <f>E27+F27+G27+H27</f>
        <v>120216</v>
      </c>
    </row>
    <row r="28" spans="1:12" ht="38.25" customHeight="1">
      <c r="A28" s="8"/>
      <c r="B28" s="28" t="s">
        <v>115</v>
      </c>
      <c r="C28" s="8">
        <v>225</v>
      </c>
      <c r="D28" s="13">
        <v>28596</v>
      </c>
      <c r="E28" s="17">
        <f>I28+J28+K28</f>
        <v>56976</v>
      </c>
      <c r="F28" s="13"/>
      <c r="G28" s="13"/>
      <c r="H28" s="13"/>
      <c r="I28" s="13">
        <f>49827</f>
        <v>49827</v>
      </c>
      <c r="J28" s="17">
        <f>2383</f>
        <v>2383</v>
      </c>
      <c r="K28" s="17">
        <f>2383+2383</f>
        <v>4766</v>
      </c>
      <c r="L28" s="17">
        <f>I28+J28+K28</f>
        <v>56976</v>
      </c>
    </row>
    <row r="29" spans="1:12" ht="34.5">
      <c r="A29" s="8"/>
      <c r="B29" s="28" t="s">
        <v>119</v>
      </c>
      <c r="C29" s="8">
        <v>225</v>
      </c>
      <c r="D29" s="13">
        <f>344000-180000</f>
        <v>164000</v>
      </c>
      <c r="E29" s="17">
        <f t="shared" ref="E29:E47" si="7">I29+J29+K29</f>
        <v>23540</v>
      </c>
      <c r="F29" s="13"/>
      <c r="G29" s="13"/>
      <c r="H29" s="13"/>
      <c r="I29" s="13">
        <f>6000</f>
        <v>6000</v>
      </c>
      <c r="J29" s="17">
        <f>11790+1000</f>
        <v>12790</v>
      </c>
      <c r="K29" s="17">
        <f>1700+3050</f>
        <v>4750</v>
      </c>
      <c r="L29" s="17">
        <f>I29+J29+K29</f>
        <v>23540</v>
      </c>
    </row>
    <row r="30" spans="1:12">
      <c r="A30" s="8"/>
      <c r="B30" s="8" t="s">
        <v>111</v>
      </c>
      <c r="C30" s="8">
        <v>225</v>
      </c>
      <c r="D30" s="13">
        <v>60000</v>
      </c>
      <c r="E30" s="17">
        <f t="shared" si="7"/>
        <v>39700</v>
      </c>
      <c r="F30" s="13"/>
      <c r="G30" s="13"/>
      <c r="H30" s="13"/>
      <c r="I30" s="13">
        <f>19700</f>
        <v>19700</v>
      </c>
      <c r="J30" s="17">
        <f>10300+9700</f>
        <v>20000</v>
      </c>
      <c r="K30" s="17"/>
      <c r="L30" s="17">
        <f>I30+J30+K30</f>
        <v>39700</v>
      </c>
    </row>
    <row r="31" spans="1:12">
      <c r="A31" s="11" t="s">
        <v>45</v>
      </c>
      <c r="B31" s="11" t="s">
        <v>46</v>
      </c>
      <c r="C31" s="11">
        <v>226</v>
      </c>
      <c r="D31" s="30">
        <f>D32+D33+D34+D35+D36+D37+D38+D39</f>
        <v>311800</v>
      </c>
      <c r="E31" s="12">
        <f t="shared" si="7"/>
        <v>113783.03999999999</v>
      </c>
      <c r="F31" s="12"/>
      <c r="G31" s="16"/>
      <c r="H31" s="16"/>
      <c r="I31" s="30">
        <f>I32+I33+I34+I35+I36+I37</f>
        <v>1000</v>
      </c>
      <c r="J31" s="30">
        <f>J32+J33+J34+J35+J36+J37+J39</f>
        <v>85045.819999999992</v>
      </c>
      <c r="K31" s="30">
        <f t="shared" ref="K31" si="8">K32+K33+K34+K35+K36+K37</f>
        <v>27737.22</v>
      </c>
      <c r="L31" s="12">
        <f>E31+F31+G31+H31</f>
        <v>113783.03999999999</v>
      </c>
    </row>
    <row r="32" spans="1:12">
      <c r="A32" s="8"/>
      <c r="B32" s="8" t="s">
        <v>47</v>
      </c>
      <c r="C32" s="8">
        <v>226</v>
      </c>
      <c r="D32" s="13">
        <v>22800</v>
      </c>
      <c r="E32" s="17">
        <f t="shared" si="7"/>
        <v>8200</v>
      </c>
      <c r="F32" s="13"/>
      <c r="G32" s="13"/>
      <c r="H32" s="13"/>
      <c r="I32" s="13"/>
      <c r="J32" s="17">
        <f>2400+2400</f>
        <v>4800</v>
      </c>
      <c r="K32" s="17">
        <f>1000+2400</f>
        <v>3400</v>
      </c>
      <c r="L32" s="17">
        <f>E32+F32+G32+H32</f>
        <v>8200</v>
      </c>
    </row>
    <row r="33" spans="1:12" ht="23.25">
      <c r="A33" s="8"/>
      <c r="B33" s="28" t="s">
        <v>122</v>
      </c>
      <c r="C33" s="8">
        <v>226</v>
      </c>
      <c r="D33" s="13">
        <f>45000</f>
        <v>45000</v>
      </c>
      <c r="E33" s="17">
        <f t="shared" si="7"/>
        <v>16134.84</v>
      </c>
      <c r="F33" s="13"/>
      <c r="G33" s="13"/>
      <c r="H33" s="13"/>
      <c r="I33" s="13"/>
      <c r="J33" s="13">
        <f>4854.84+2150+4400</f>
        <v>11404.84</v>
      </c>
      <c r="K33" s="17">
        <f>2365+2365</f>
        <v>4730</v>
      </c>
      <c r="L33" s="17">
        <f t="shared" ref="L33:L39" si="9">E33+F33+G33+H33</f>
        <v>16134.84</v>
      </c>
    </row>
    <row r="34" spans="1:12" ht="23.25">
      <c r="A34" s="8"/>
      <c r="B34" s="28" t="s">
        <v>118</v>
      </c>
      <c r="C34" s="8">
        <v>226</v>
      </c>
      <c r="D34" s="13">
        <f>50000</f>
        <v>50000</v>
      </c>
      <c r="E34" s="17">
        <f t="shared" si="7"/>
        <v>22560</v>
      </c>
      <c r="F34" s="13"/>
      <c r="G34" s="13"/>
      <c r="H34" s="13"/>
      <c r="I34" s="13"/>
      <c r="J34" s="17">
        <f>1960+16400+4200</f>
        <v>22560</v>
      </c>
      <c r="K34" s="17"/>
      <c r="L34" s="17">
        <f t="shared" si="9"/>
        <v>22560</v>
      </c>
    </row>
    <row r="35" spans="1:12">
      <c r="A35" s="8"/>
      <c r="B35" s="8" t="s">
        <v>112</v>
      </c>
      <c r="C35" s="8">
        <v>226</v>
      </c>
      <c r="D35" s="13">
        <v>20000</v>
      </c>
      <c r="E35" s="17">
        <f t="shared" si="7"/>
        <v>0</v>
      </c>
      <c r="F35" s="13"/>
      <c r="G35" s="13"/>
      <c r="H35" s="13"/>
      <c r="I35" s="13"/>
      <c r="J35" s="17"/>
      <c r="K35" s="17"/>
      <c r="L35" s="17">
        <f t="shared" si="9"/>
        <v>0</v>
      </c>
    </row>
    <row r="36" spans="1:12">
      <c r="A36" s="8"/>
      <c r="B36" s="8" t="s">
        <v>49</v>
      </c>
      <c r="C36" s="8">
        <v>226</v>
      </c>
      <c r="D36" s="13">
        <v>14000</v>
      </c>
      <c r="E36" s="17">
        <f t="shared" si="7"/>
        <v>0</v>
      </c>
      <c r="F36" s="13"/>
      <c r="G36" s="13"/>
      <c r="H36" s="13"/>
      <c r="I36" s="13"/>
      <c r="J36" s="13"/>
      <c r="K36" s="17"/>
      <c r="L36" s="17">
        <f t="shared" si="9"/>
        <v>0</v>
      </c>
    </row>
    <row r="37" spans="1:12">
      <c r="A37" s="8"/>
      <c r="B37" s="8" t="s">
        <v>113</v>
      </c>
      <c r="C37" s="8">
        <v>226</v>
      </c>
      <c r="D37" s="13">
        <v>40000</v>
      </c>
      <c r="E37" s="17">
        <f t="shared" si="7"/>
        <v>43433.2</v>
      </c>
      <c r="F37" s="13"/>
      <c r="G37" s="13"/>
      <c r="H37" s="13"/>
      <c r="I37" s="13">
        <f>1000</f>
        <v>1000</v>
      </c>
      <c r="J37" s="13">
        <f>8268+967+2251.7+521.99+20.47+296.82+10500</f>
        <v>22825.98</v>
      </c>
      <c r="K37" s="17">
        <f>3558.9+5132.28+2448+1103.6+43.29+4760.62+627.53+1681+252</f>
        <v>19607.22</v>
      </c>
      <c r="L37" s="17">
        <f>E37+F37+G37+H37</f>
        <v>43433.2</v>
      </c>
    </row>
    <row r="38" spans="1:12">
      <c r="A38" s="8"/>
      <c r="B38" s="8" t="s">
        <v>148</v>
      </c>
      <c r="C38" s="8">
        <v>226</v>
      </c>
      <c r="D38" s="13">
        <f>90000</f>
        <v>90000</v>
      </c>
      <c r="E38" s="17">
        <f>I38+J38+K38</f>
        <v>0</v>
      </c>
      <c r="F38" s="13"/>
      <c r="G38" s="13"/>
      <c r="H38" s="13"/>
      <c r="I38" s="13"/>
      <c r="J38" s="13"/>
      <c r="K38" s="17"/>
      <c r="L38" s="17">
        <f>E38+F38+G38+H38</f>
        <v>0</v>
      </c>
    </row>
    <row r="39" spans="1:12">
      <c r="A39" s="8"/>
      <c r="B39" s="8" t="s">
        <v>109</v>
      </c>
      <c r="C39" s="8">
        <v>226</v>
      </c>
      <c r="D39" s="13">
        <v>30000</v>
      </c>
      <c r="E39" s="17">
        <f t="shared" si="7"/>
        <v>23455</v>
      </c>
      <c r="F39" s="13"/>
      <c r="G39" s="13"/>
      <c r="H39" s="13"/>
      <c r="I39" s="13"/>
      <c r="J39" s="13">
        <v>23455</v>
      </c>
      <c r="K39" s="17"/>
      <c r="L39" s="17">
        <f t="shared" si="9"/>
        <v>23455</v>
      </c>
    </row>
    <row r="40" spans="1:12">
      <c r="A40" s="6" t="s">
        <v>50</v>
      </c>
      <c r="B40" s="6" t="s">
        <v>51</v>
      </c>
      <c r="C40" s="6">
        <v>290</v>
      </c>
      <c r="D40" s="31">
        <f>D41</f>
        <v>2500</v>
      </c>
      <c r="E40" s="12">
        <f t="shared" si="7"/>
        <v>337.99</v>
      </c>
      <c r="F40" s="12"/>
      <c r="G40" s="12"/>
      <c r="H40" s="12"/>
      <c r="I40" s="31">
        <f>I41</f>
        <v>337.99</v>
      </c>
      <c r="J40" s="31">
        <f t="shared" ref="J40:K40" si="10">J41</f>
        <v>0</v>
      </c>
      <c r="K40" s="31">
        <f t="shared" si="10"/>
        <v>0</v>
      </c>
      <c r="L40" s="12">
        <f>E40+F40+G40+H40</f>
        <v>337.99</v>
      </c>
    </row>
    <row r="41" spans="1:12">
      <c r="A41" s="15"/>
      <c r="B41" s="15" t="s">
        <v>52</v>
      </c>
      <c r="C41" s="15">
        <v>290</v>
      </c>
      <c r="D41" s="17">
        <f>2500</f>
        <v>2500</v>
      </c>
      <c r="E41" s="17">
        <f t="shared" si="7"/>
        <v>337.99</v>
      </c>
      <c r="F41" s="17"/>
      <c r="G41" s="17"/>
      <c r="H41" s="17"/>
      <c r="I41" s="17">
        <f>337.99</f>
        <v>337.99</v>
      </c>
      <c r="J41" s="17"/>
      <c r="K41" s="21"/>
      <c r="L41" s="17">
        <f>E41+F41+G41+H41</f>
        <v>337.99</v>
      </c>
    </row>
    <row r="42" spans="1:12">
      <c r="A42" s="6" t="s">
        <v>53</v>
      </c>
      <c r="B42" s="6" t="s">
        <v>54</v>
      </c>
      <c r="C42" s="6">
        <v>300</v>
      </c>
      <c r="D42" s="31">
        <f>D43+D44</f>
        <v>428499.9</v>
      </c>
      <c r="E42" s="12">
        <f t="shared" si="7"/>
        <v>168943.52000000002</v>
      </c>
      <c r="F42" s="12"/>
      <c r="G42" s="12"/>
      <c r="H42" s="12"/>
      <c r="I42" s="12">
        <f>I44</f>
        <v>52524.72</v>
      </c>
      <c r="J42" s="12">
        <f t="shared" ref="J42:K42" si="11">J44</f>
        <v>87516.800000000003</v>
      </c>
      <c r="K42" s="12">
        <f t="shared" si="11"/>
        <v>28902</v>
      </c>
      <c r="L42" s="12">
        <f>E42+F42+G42+H42</f>
        <v>168943.52000000002</v>
      </c>
    </row>
    <row r="43" spans="1:12">
      <c r="A43" s="24" t="s">
        <v>55</v>
      </c>
      <c r="B43" s="24" t="s">
        <v>56</v>
      </c>
      <c r="C43" s="22">
        <v>310</v>
      </c>
      <c r="D43" s="23">
        <f>69027.61</f>
        <v>69027.61</v>
      </c>
      <c r="E43" s="17">
        <f t="shared" si="7"/>
        <v>0</v>
      </c>
      <c r="F43" s="23"/>
      <c r="G43" s="23"/>
      <c r="H43" s="23"/>
      <c r="I43" s="23">
        <v>0</v>
      </c>
      <c r="J43" s="23">
        <v>0</v>
      </c>
      <c r="K43" s="23">
        <v>0</v>
      </c>
      <c r="L43" s="17">
        <v>0</v>
      </c>
    </row>
    <row r="44" spans="1:12">
      <c r="A44" s="11" t="s">
        <v>57</v>
      </c>
      <c r="B44" s="11" t="s">
        <v>58</v>
      </c>
      <c r="C44" s="25">
        <v>340</v>
      </c>
      <c r="D44" s="30">
        <f>D45+D47+D46</f>
        <v>359472.29000000004</v>
      </c>
      <c r="E44" s="12">
        <f t="shared" si="7"/>
        <v>168943.52000000002</v>
      </c>
      <c r="F44" s="12"/>
      <c r="G44" s="16"/>
      <c r="H44" s="16"/>
      <c r="I44" s="30">
        <f>I45+I47</f>
        <v>52524.72</v>
      </c>
      <c r="J44" s="30">
        <f>J45+J47</f>
        <v>87516.800000000003</v>
      </c>
      <c r="K44" s="30">
        <f>K45+K47</f>
        <v>28902</v>
      </c>
      <c r="L44" s="12">
        <f>E44+F44+G44+H44</f>
        <v>168943.52000000002</v>
      </c>
    </row>
    <row r="45" spans="1:12">
      <c r="A45" s="8"/>
      <c r="B45" s="8" t="s">
        <v>117</v>
      </c>
      <c r="C45" s="8">
        <v>340</v>
      </c>
      <c r="D45" s="13">
        <f>288700+3695.9</f>
        <v>292395.90000000002</v>
      </c>
      <c r="E45" s="17">
        <f>I45+J45+K45</f>
        <v>55662.3</v>
      </c>
      <c r="F45" s="13"/>
      <c r="G45" s="13"/>
      <c r="H45" s="13"/>
      <c r="I45" s="13">
        <f>20482.5</f>
        <v>20482.5</v>
      </c>
      <c r="J45" s="17">
        <f>15227.3+19952.5</f>
        <v>35179.800000000003</v>
      </c>
      <c r="K45" s="17"/>
      <c r="L45" s="17">
        <f t="shared" ref="L45:L48" si="12">E45+F45+G45+H45</f>
        <v>55662.3</v>
      </c>
    </row>
    <row r="46" spans="1:12">
      <c r="A46" s="8"/>
      <c r="B46" s="8" t="s">
        <v>149</v>
      </c>
      <c r="C46" s="8">
        <v>340</v>
      </c>
      <c r="D46" s="13">
        <v>20972.39</v>
      </c>
      <c r="E46" s="17">
        <f>I46+J46+K46</f>
        <v>0</v>
      </c>
      <c r="F46" s="13"/>
      <c r="G46" s="13"/>
      <c r="H46" s="13"/>
      <c r="I46" s="13"/>
      <c r="J46" s="17"/>
      <c r="K46" s="17"/>
      <c r="L46" s="17">
        <f t="shared" si="12"/>
        <v>0</v>
      </c>
    </row>
    <row r="47" spans="1:12">
      <c r="A47" s="8"/>
      <c r="B47" s="8" t="s">
        <v>121</v>
      </c>
      <c r="C47" s="8">
        <v>340</v>
      </c>
      <c r="D47" s="13">
        <v>46104</v>
      </c>
      <c r="E47" s="17">
        <f t="shared" si="7"/>
        <v>113281.22</v>
      </c>
      <c r="F47" s="13"/>
      <c r="G47" s="13"/>
      <c r="H47" s="13"/>
      <c r="I47" s="13">
        <f>16440+15602.22</f>
        <v>32042.22</v>
      </c>
      <c r="J47" s="17">
        <f>17430+15525+11822+7560</f>
        <v>52337</v>
      </c>
      <c r="K47" s="17">
        <f>13770+15132</f>
        <v>28902</v>
      </c>
      <c r="L47" s="17">
        <f t="shared" si="12"/>
        <v>113281.22</v>
      </c>
    </row>
    <row r="48" spans="1:12">
      <c r="A48" s="11"/>
      <c r="B48" s="11" t="s">
        <v>59</v>
      </c>
      <c r="C48" s="11"/>
      <c r="D48" s="16"/>
      <c r="E48" s="16">
        <f>D8+E9-E10</f>
        <v>3664.0500000000466</v>
      </c>
      <c r="F48" s="16"/>
      <c r="G48" s="16"/>
      <c r="H48" s="16"/>
      <c r="I48" s="16">
        <f>D8+I9-I10</f>
        <v>252325.43000000002</v>
      </c>
      <c r="J48" s="16">
        <f>I48+J9-J10</f>
        <v>46062.220000000088</v>
      </c>
      <c r="K48" s="16">
        <f>J48+K9-K10</f>
        <v>3664.0500000001048</v>
      </c>
      <c r="L48" s="16">
        <f t="shared" si="12"/>
        <v>3664.0500000000466</v>
      </c>
    </row>
    <row r="49" spans="1:12">
      <c r="A49" s="14"/>
      <c r="B49" s="14" t="s">
        <v>60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>
      <c r="A50" s="14"/>
      <c r="B50" s="14" t="s">
        <v>61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</row>
    <row r="51" spans="1:12">
      <c r="A51" s="65" t="s">
        <v>99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</row>
    <row r="52" spans="1:12">
      <c r="A52" s="65" t="s">
        <v>0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</row>
    <row r="53" spans="1:12">
      <c r="A53" s="63" t="s">
        <v>62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</row>
    <row r="54" spans="1:12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1:12">
      <c r="A55" s="53" t="s">
        <v>2</v>
      </c>
      <c r="B55" s="55" t="s">
        <v>3</v>
      </c>
      <c r="C55" s="53" t="s">
        <v>4</v>
      </c>
      <c r="D55" s="59" t="s">
        <v>5</v>
      </c>
      <c r="E55" s="48" t="s">
        <v>63</v>
      </c>
      <c r="F55" s="48" t="s">
        <v>7</v>
      </c>
      <c r="G55" s="48" t="s">
        <v>8</v>
      </c>
      <c r="H55" s="48" t="s">
        <v>9</v>
      </c>
      <c r="I55" s="50" t="s">
        <v>10</v>
      </c>
      <c r="J55" s="51"/>
      <c r="K55" s="51"/>
      <c r="L55" s="52"/>
    </row>
    <row r="56" spans="1:12">
      <c r="A56" s="54"/>
      <c r="B56" s="56"/>
      <c r="C56" s="54"/>
      <c r="D56" s="60"/>
      <c r="E56" s="49"/>
      <c r="F56" s="49"/>
      <c r="G56" s="49"/>
      <c r="H56" s="49"/>
      <c r="I56" s="35" t="s">
        <v>100</v>
      </c>
      <c r="J56" s="35" t="s">
        <v>101</v>
      </c>
      <c r="K56" s="35" t="s">
        <v>102</v>
      </c>
      <c r="L56" s="4" t="s">
        <v>11</v>
      </c>
    </row>
    <row r="57" spans="1:12">
      <c r="A57" s="9"/>
      <c r="B57" s="10"/>
      <c r="C57" s="9"/>
      <c r="D57" s="2" t="s">
        <v>12</v>
      </c>
      <c r="E57" s="2"/>
      <c r="F57" s="2"/>
      <c r="G57" s="2"/>
      <c r="H57" s="2"/>
      <c r="I57" s="4" t="s">
        <v>13</v>
      </c>
      <c r="J57" s="4" t="s">
        <v>14</v>
      </c>
      <c r="K57" s="4" t="s">
        <v>14</v>
      </c>
      <c r="L57" s="4" t="s">
        <v>15</v>
      </c>
    </row>
    <row r="58" spans="1:12">
      <c r="A58" s="5">
        <v>1</v>
      </c>
      <c r="B58" s="5">
        <v>2</v>
      </c>
      <c r="C58" s="5">
        <v>3</v>
      </c>
      <c r="D58" s="5">
        <v>4</v>
      </c>
      <c r="E58" s="5">
        <v>5</v>
      </c>
      <c r="F58" s="5">
        <v>6</v>
      </c>
      <c r="G58" s="5">
        <v>7</v>
      </c>
      <c r="H58" s="5">
        <v>8</v>
      </c>
      <c r="I58" s="5">
        <v>9</v>
      </c>
      <c r="J58" s="5">
        <v>10</v>
      </c>
      <c r="K58" s="5">
        <v>11</v>
      </c>
      <c r="L58" s="5">
        <v>12</v>
      </c>
    </row>
    <row r="59" spans="1:12">
      <c r="A59" s="6">
        <v>1</v>
      </c>
      <c r="B59" s="6" t="s">
        <v>64</v>
      </c>
      <c r="C59" s="6"/>
      <c r="D59" s="12"/>
      <c r="E59" s="12"/>
      <c r="F59" s="12"/>
      <c r="G59" s="12"/>
      <c r="H59" s="12"/>
      <c r="I59" s="12"/>
      <c r="J59" s="12"/>
      <c r="K59" s="12"/>
      <c r="L59" s="6"/>
    </row>
    <row r="60" spans="1:12">
      <c r="A60" s="6">
        <v>2</v>
      </c>
      <c r="B60" s="6" t="s">
        <v>65</v>
      </c>
      <c r="C60" s="6"/>
      <c r="D60" s="12">
        <f>4700000</f>
        <v>4700000</v>
      </c>
      <c r="E60" s="12">
        <f>I60+J60+K60</f>
        <v>1101441.6000000001</v>
      </c>
      <c r="F60" s="12"/>
      <c r="G60" s="12"/>
      <c r="H60" s="12"/>
      <c r="I60" s="12">
        <f>9366+42147+57600.9+94596.6+140490+147514.5</f>
        <v>491715</v>
      </c>
      <c r="J60" s="12">
        <f>89913.6+126441+147514.5</f>
        <v>363869.1</v>
      </c>
      <c r="K60" s="12">
        <f>35122.5+163905+46830</f>
        <v>245857.5</v>
      </c>
      <c r="L60" s="12">
        <f>E60+F60+G60+H60</f>
        <v>1101441.6000000001</v>
      </c>
    </row>
    <row r="61" spans="1:12">
      <c r="A61" s="6"/>
      <c r="B61" s="8" t="s">
        <v>66</v>
      </c>
      <c r="C61" s="6"/>
      <c r="D61" s="12"/>
      <c r="E61" s="12"/>
      <c r="F61" s="12"/>
      <c r="G61" s="12"/>
      <c r="H61" s="12"/>
      <c r="I61" s="12"/>
      <c r="J61" s="16"/>
      <c r="K61" s="12"/>
      <c r="L61" s="12"/>
    </row>
    <row r="62" spans="1:12">
      <c r="A62" s="8" t="s">
        <v>67</v>
      </c>
      <c r="B62" s="8" t="s">
        <v>68</v>
      </c>
      <c r="C62" s="6">
        <v>130</v>
      </c>
      <c r="D62" s="12">
        <f>E62+F62+G62+H62</f>
        <v>0</v>
      </c>
      <c r="E62" s="12">
        <f>I62+J62+K62</f>
        <v>0</v>
      </c>
      <c r="F62" s="13"/>
      <c r="G62" s="13"/>
      <c r="H62" s="13"/>
      <c r="I62" s="12"/>
      <c r="J62" s="12"/>
      <c r="K62" s="12"/>
      <c r="L62" s="12">
        <f>E62+F62+G62+H62</f>
        <v>0</v>
      </c>
    </row>
    <row r="63" spans="1:12">
      <c r="A63" s="6"/>
      <c r="B63" s="8" t="s">
        <v>69</v>
      </c>
      <c r="C63" s="6"/>
      <c r="D63" s="12"/>
      <c r="E63" s="13"/>
      <c r="F63" s="13"/>
      <c r="G63" s="13"/>
      <c r="H63" s="13"/>
      <c r="I63" s="12"/>
      <c r="J63" s="20"/>
      <c r="K63" s="26"/>
      <c r="L63" s="12"/>
    </row>
    <row r="64" spans="1:12">
      <c r="A64" s="15"/>
      <c r="B64" s="15" t="s">
        <v>70</v>
      </c>
      <c r="C64" s="15"/>
      <c r="D64" s="12"/>
      <c r="E64" s="17"/>
      <c r="F64" s="17"/>
      <c r="G64" s="17"/>
      <c r="H64" s="17"/>
      <c r="I64" s="17"/>
      <c r="J64" s="19"/>
      <c r="K64" s="19"/>
      <c r="L64" s="17"/>
    </row>
    <row r="65" spans="1:12">
      <c r="A65" s="6"/>
      <c r="B65" s="8" t="s">
        <v>71</v>
      </c>
      <c r="C65" s="6"/>
      <c r="D65" s="12"/>
      <c r="E65" s="17"/>
      <c r="F65" s="13"/>
      <c r="G65" s="13"/>
      <c r="H65" s="13"/>
      <c r="I65" s="17"/>
      <c r="J65" s="19"/>
      <c r="K65" s="19"/>
      <c r="L65" s="17"/>
    </row>
    <row r="66" spans="1:12">
      <c r="A66" s="6">
        <v>3</v>
      </c>
      <c r="B66" s="6" t="s">
        <v>18</v>
      </c>
      <c r="C66" s="6">
        <v>200</v>
      </c>
      <c r="D66" s="12">
        <f>D67+D71+D99+D103</f>
        <v>4802574.42</v>
      </c>
      <c r="E66" s="12">
        <f>I66+J66+K66</f>
        <v>1088929.06</v>
      </c>
      <c r="F66" s="12"/>
      <c r="G66" s="12"/>
      <c r="H66" s="12"/>
      <c r="I66" s="12">
        <f>I67+I71+I99+I103</f>
        <v>203636.32</v>
      </c>
      <c r="J66" s="12">
        <f>J67+J71+J99+J103</f>
        <v>615908.06000000006</v>
      </c>
      <c r="K66" s="12">
        <f>K67+K71+K99+K103</f>
        <v>269384.68</v>
      </c>
      <c r="L66" s="16">
        <f>E66+F66+G66+H66</f>
        <v>1088929.06</v>
      </c>
    </row>
    <row r="67" spans="1:12">
      <c r="A67" s="7" t="s">
        <v>19</v>
      </c>
      <c r="B67" s="6" t="s">
        <v>20</v>
      </c>
      <c r="C67" s="6">
        <v>210</v>
      </c>
      <c r="D67" s="12">
        <f>D68+D69+D70</f>
        <v>1112700</v>
      </c>
      <c r="E67" s="12">
        <f>I67+J67+K67</f>
        <v>245976.12</v>
      </c>
      <c r="F67" s="12"/>
      <c r="G67" s="12"/>
      <c r="H67" s="12"/>
      <c r="I67" s="12">
        <f>I68+I69+I70</f>
        <v>40427.1</v>
      </c>
      <c r="J67" s="12">
        <f>J68+J69+J70</f>
        <v>166613.82</v>
      </c>
      <c r="K67" s="12">
        <f t="shared" ref="K67" si="13">K68+K69+K70</f>
        <v>38935.199999999997</v>
      </c>
      <c r="L67" s="17">
        <f t="shared" ref="L67:L98" si="14">E67+F67+G67+H67</f>
        <v>245976.12</v>
      </c>
    </row>
    <row r="68" spans="1:12">
      <c r="A68" s="11" t="s">
        <v>21</v>
      </c>
      <c r="B68" s="11" t="s">
        <v>22</v>
      </c>
      <c r="C68" s="11">
        <v>211</v>
      </c>
      <c r="D68" s="16">
        <v>837200</v>
      </c>
      <c r="E68" s="16">
        <f t="shared" ref="E68:E113" si="15">I68+J68+K68</f>
        <v>180550</v>
      </c>
      <c r="F68" s="16"/>
      <c r="G68" s="16"/>
      <c r="H68" s="16"/>
      <c r="I68" s="30">
        <f>27010+4040</f>
        <v>31050</v>
      </c>
      <c r="J68" s="32">
        <f>106053+15847</f>
        <v>121900</v>
      </c>
      <c r="K68" s="32">
        <f>24012+3588</f>
        <v>27600</v>
      </c>
      <c r="L68" s="17">
        <f>E68+F68+G68+H68</f>
        <v>180550</v>
      </c>
    </row>
    <row r="69" spans="1:12">
      <c r="A69" s="11" t="s">
        <v>23</v>
      </c>
      <c r="B69" s="11" t="s">
        <v>24</v>
      </c>
      <c r="C69" s="11">
        <v>212</v>
      </c>
      <c r="D69" s="16">
        <v>22500</v>
      </c>
      <c r="E69" s="16">
        <f t="shared" si="15"/>
        <v>10900</v>
      </c>
      <c r="F69" s="16"/>
      <c r="G69" s="16"/>
      <c r="H69" s="16"/>
      <c r="I69" s="30"/>
      <c r="J69" s="30">
        <f>4200+900+2800</f>
        <v>7900</v>
      </c>
      <c r="K69" s="32">
        <f>2800+200</f>
        <v>3000</v>
      </c>
      <c r="L69" s="17">
        <f t="shared" si="14"/>
        <v>10900</v>
      </c>
    </row>
    <row r="70" spans="1:12">
      <c r="A70" s="11" t="s">
        <v>72</v>
      </c>
      <c r="B70" s="11" t="s">
        <v>73</v>
      </c>
      <c r="C70" s="11">
        <v>213</v>
      </c>
      <c r="D70" s="16">
        <v>253000</v>
      </c>
      <c r="E70" s="16">
        <f t="shared" si="15"/>
        <v>54526.12000000001</v>
      </c>
      <c r="F70" s="16"/>
      <c r="G70" s="16"/>
      <c r="H70" s="16"/>
      <c r="I70" s="30">
        <f>62.1+6831+900.45+1583.55</f>
        <v>9377.1</v>
      </c>
      <c r="J70" s="32">
        <f>26818+6216.91+3535.11+243.8</f>
        <v>36813.820000000007</v>
      </c>
      <c r="K70" s="32">
        <f>6072+1407.6+800.4+55.2</f>
        <v>8335.2000000000007</v>
      </c>
      <c r="L70" s="17">
        <f t="shared" si="14"/>
        <v>54526.12000000001</v>
      </c>
    </row>
    <row r="71" spans="1:12">
      <c r="A71" s="6" t="s">
        <v>27</v>
      </c>
      <c r="B71" s="6" t="s">
        <v>28</v>
      </c>
      <c r="C71" s="6">
        <v>220</v>
      </c>
      <c r="D71" s="12">
        <f>D72+D73+D74+D75+D76+D85+D99</f>
        <v>972574.42</v>
      </c>
      <c r="E71" s="12">
        <f t="shared" si="15"/>
        <v>176289.25</v>
      </c>
      <c r="F71" s="12"/>
      <c r="G71" s="16"/>
      <c r="H71" s="12"/>
      <c r="I71" s="12">
        <f>I72+I73+I74+I75+I76+I85</f>
        <v>212.38</v>
      </c>
      <c r="J71" s="12">
        <f>J72+J73+J74+J75+J76+J85</f>
        <v>136686.06</v>
      </c>
      <c r="K71" s="12">
        <f>K72+K73+K74+K75+K76+K85</f>
        <v>39390.81</v>
      </c>
      <c r="L71" s="16">
        <f t="shared" si="14"/>
        <v>176289.25</v>
      </c>
    </row>
    <row r="72" spans="1:12">
      <c r="A72" s="11" t="s">
        <v>29</v>
      </c>
      <c r="B72" s="11" t="s">
        <v>74</v>
      </c>
      <c r="C72" s="11">
        <v>221</v>
      </c>
      <c r="D72" s="16">
        <v>0</v>
      </c>
      <c r="E72" s="12">
        <f t="shared" si="15"/>
        <v>0</v>
      </c>
      <c r="F72" s="16"/>
      <c r="G72" s="16"/>
      <c r="H72" s="16"/>
      <c r="I72" s="16"/>
      <c r="J72" s="16"/>
      <c r="K72" s="16"/>
      <c r="L72" s="17">
        <f t="shared" si="14"/>
        <v>0</v>
      </c>
    </row>
    <row r="73" spans="1:12">
      <c r="A73" s="11" t="s">
        <v>34</v>
      </c>
      <c r="B73" s="11" t="s">
        <v>35</v>
      </c>
      <c r="C73" s="11">
        <v>222</v>
      </c>
      <c r="D73" s="16">
        <v>60000</v>
      </c>
      <c r="E73" s="16">
        <f t="shared" si="15"/>
        <v>0</v>
      </c>
      <c r="F73" s="16"/>
      <c r="G73" s="16"/>
      <c r="H73" s="16"/>
      <c r="I73" s="30"/>
      <c r="J73" s="30"/>
      <c r="K73" s="30"/>
      <c r="L73" s="17">
        <f t="shared" si="14"/>
        <v>0</v>
      </c>
    </row>
    <row r="74" spans="1:12">
      <c r="A74" s="11" t="s">
        <v>36</v>
      </c>
      <c r="B74" s="11" t="s">
        <v>37</v>
      </c>
      <c r="C74" s="11">
        <v>223</v>
      </c>
      <c r="D74" s="16">
        <v>0</v>
      </c>
      <c r="E74" s="16">
        <f t="shared" si="15"/>
        <v>0</v>
      </c>
      <c r="F74" s="16"/>
      <c r="G74" s="16"/>
      <c r="H74" s="16"/>
      <c r="I74" s="16"/>
      <c r="J74" s="16"/>
      <c r="K74" s="16"/>
      <c r="L74" s="17">
        <f t="shared" si="14"/>
        <v>0</v>
      </c>
    </row>
    <row r="75" spans="1:12">
      <c r="A75" s="11" t="s">
        <v>42</v>
      </c>
      <c r="B75" s="11" t="s">
        <v>75</v>
      </c>
      <c r="C75" s="11">
        <v>224</v>
      </c>
      <c r="D75" s="16">
        <v>42000</v>
      </c>
      <c r="E75" s="16">
        <f t="shared" si="15"/>
        <v>0</v>
      </c>
      <c r="F75" s="16"/>
      <c r="G75" s="16"/>
      <c r="H75" s="16"/>
      <c r="I75" s="30"/>
      <c r="J75" s="30"/>
      <c r="K75" s="30"/>
      <c r="L75" s="17">
        <f t="shared" si="14"/>
        <v>0</v>
      </c>
    </row>
    <row r="76" spans="1:12">
      <c r="A76" s="11" t="s">
        <v>43</v>
      </c>
      <c r="B76" s="11" t="s">
        <v>44</v>
      </c>
      <c r="C76" s="11">
        <v>225</v>
      </c>
      <c r="D76" s="16">
        <f>D77+D78+D79+D80+D81+D82+D83+D84</f>
        <v>329000</v>
      </c>
      <c r="E76" s="12">
        <f>I76+J76+K76</f>
        <v>54802.95</v>
      </c>
      <c r="F76" s="12"/>
      <c r="G76" s="12"/>
      <c r="H76" s="12"/>
      <c r="I76" s="31">
        <f>I77+I78+I79+I80+I81+I82+I83+I84</f>
        <v>0</v>
      </c>
      <c r="J76" s="31">
        <f>J77+J78+J79+J80+J81+J82+J83+J84</f>
        <v>31512.46</v>
      </c>
      <c r="K76" s="31">
        <f>K77+K78+K79+K80+K81+K82+K83+K84</f>
        <v>23290.489999999998</v>
      </c>
      <c r="L76" s="16">
        <f t="shared" si="14"/>
        <v>54802.95</v>
      </c>
    </row>
    <row r="77" spans="1:12">
      <c r="A77" s="8"/>
      <c r="B77" s="8" t="s">
        <v>76</v>
      </c>
      <c r="C77" s="8">
        <v>225</v>
      </c>
      <c r="D77" s="13">
        <v>120000</v>
      </c>
      <c r="E77" s="17">
        <f t="shared" si="15"/>
        <v>30456.959999999999</v>
      </c>
      <c r="F77" s="13"/>
      <c r="G77" s="13"/>
      <c r="H77" s="13"/>
      <c r="I77" s="13"/>
      <c r="J77" s="17">
        <f>10505+1570+2656.5+615.83+350.18+24.15+897+1518+351.9+200.1+13.8+6003</f>
        <v>24705.46</v>
      </c>
      <c r="K77" s="13">
        <f>5751.5</f>
        <v>5751.5</v>
      </c>
      <c r="L77" s="17">
        <f t="shared" si="14"/>
        <v>30456.959999999999</v>
      </c>
    </row>
    <row r="78" spans="1:12">
      <c r="A78" s="8"/>
      <c r="B78" s="8" t="s">
        <v>124</v>
      </c>
      <c r="C78" s="8">
        <v>225</v>
      </c>
      <c r="D78" s="13">
        <v>40000</v>
      </c>
      <c r="E78" s="17">
        <f t="shared" si="15"/>
        <v>5922</v>
      </c>
      <c r="F78" s="13"/>
      <c r="G78" s="13"/>
      <c r="H78" s="13"/>
      <c r="I78" s="13"/>
      <c r="J78" s="17">
        <f>4766+226+465</f>
        <v>5457</v>
      </c>
      <c r="K78" s="13">
        <f>465</f>
        <v>465</v>
      </c>
      <c r="L78" s="17">
        <f t="shared" si="14"/>
        <v>5922</v>
      </c>
    </row>
    <row r="79" spans="1:12">
      <c r="A79" s="8"/>
      <c r="B79" s="8" t="s">
        <v>77</v>
      </c>
      <c r="C79" s="8">
        <v>225</v>
      </c>
      <c r="D79" s="13">
        <v>29000</v>
      </c>
      <c r="E79" s="17">
        <f t="shared" si="15"/>
        <v>0</v>
      </c>
      <c r="F79" s="13"/>
      <c r="G79" s="13"/>
      <c r="H79" s="13"/>
      <c r="I79" s="13"/>
      <c r="J79" s="17"/>
      <c r="K79" s="13"/>
      <c r="L79" s="17">
        <f t="shared" si="14"/>
        <v>0</v>
      </c>
    </row>
    <row r="80" spans="1:12">
      <c r="A80" s="8"/>
      <c r="B80" s="8" t="s">
        <v>103</v>
      </c>
      <c r="C80" s="8">
        <v>225</v>
      </c>
      <c r="D80" s="13">
        <v>40000</v>
      </c>
      <c r="E80" s="17">
        <f t="shared" si="15"/>
        <v>8652.99</v>
      </c>
      <c r="F80" s="13"/>
      <c r="G80" s="13"/>
      <c r="H80" s="13"/>
      <c r="I80" s="13"/>
      <c r="J80" s="17"/>
      <c r="K80" s="13">
        <f>6000+861+1454.75+337.24</f>
        <v>8652.99</v>
      </c>
      <c r="L80" s="17">
        <f t="shared" si="14"/>
        <v>8652.99</v>
      </c>
    </row>
    <row r="81" spans="1:12">
      <c r="A81" s="8"/>
      <c r="B81" s="8" t="s">
        <v>79</v>
      </c>
      <c r="C81" s="8">
        <v>225</v>
      </c>
      <c r="D81" s="13">
        <v>30000</v>
      </c>
      <c r="E81" s="17">
        <f t="shared" si="15"/>
        <v>1350</v>
      </c>
      <c r="F81" s="13"/>
      <c r="G81" s="13"/>
      <c r="H81" s="13"/>
      <c r="I81" s="13"/>
      <c r="J81" s="17">
        <f>1350</f>
        <v>1350</v>
      </c>
      <c r="K81" s="13"/>
      <c r="L81" s="17">
        <f t="shared" si="14"/>
        <v>1350</v>
      </c>
    </row>
    <row r="82" spans="1:12">
      <c r="A82" s="8"/>
      <c r="B82" s="8" t="s">
        <v>105</v>
      </c>
      <c r="C82" s="8">
        <v>225</v>
      </c>
      <c r="D82" s="13">
        <v>20000</v>
      </c>
      <c r="E82" s="17">
        <f t="shared" si="15"/>
        <v>0</v>
      </c>
      <c r="F82" s="13"/>
      <c r="G82" s="13"/>
      <c r="H82" s="13"/>
      <c r="I82" s="13"/>
      <c r="J82" s="17"/>
      <c r="K82" s="13"/>
      <c r="L82" s="17">
        <f t="shared" si="14"/>
        <v>0</v>
      </c>
    </row>
    <row r="83" spans="1:12">
      <c r="A83" s="8"/>
      <c r="B83" s="8" t="s">
        <v>80</v>
      </c>
      <c r="C83" s="8">
        <v>225</v>
      </c>
      <c r="D83" s="13">
        <v>20000</v>
      </c>
      <c r="E83" s="17">
        <f t="shared" si="15"/>
        <v>8421</v>
      </c>
      <c r="F83" s="13"/>
      <c r="G83" s="13"/>
      <c r="H83" s="13"/>
      <c r="I83" s="13"/>
      <c r="J83" s="17"/>
      <c r="K83" s="13">
        <f>8421</f>
        <v>8421</v>
      </c>
      <c r="L83" s="17">
        <f t="shared" si="14"/>
        <v>8421</v>
      </c>
    </row>
    <row r="84" spans="1:12">
      <c r="A84" s="8"/>
      <c r="B84" s="8" t="s">
        <v>104</v>
      </c>
      <c r="C84" s="8">
        <v>225</v>
      </c>
      <c r="D84" s="13">
        <v>30000</v>
      </c>
      <c r="E84" s="17">
        <f t="shared" si="15"/>
        <v>0</v>
      </c>
      <c r="F84" s="13"/>
      <c r="G84" s="13"/>
      <c r="H84" s="13"/>
      <c r="I84" s="13"/>
      <c r="J84" s="17"/>
      <c r="K84" s="13"/>
      <c r="L84" s="17">
        <f t="shared" si="14"/>
        <v>0</v>
      </c>
    </row>
    <row r="85" spans="1:12">
      <c r="A85" s="11" t="s">
        <v>45</v>
      </c>
      <c r="B85" s="11" t="s">
        <v>46</v>
      </c>
      <c r="C85" s="11">
        <v>226</v>
      </c>
      <c r="D85" s="16">
        <f>D86+D87+D88+D89+D90+D91+D92+D93+D94+D95+D96+D97+D98</f>
        <v>439000</v>
      </c>
      <c r="E85" s="12">
        <f>I85+J85+K85</f>
        <v>121486.3</v>
      </c>
      <c r="F85" s="16"/>
      <c r="G85" s="16"/>
      <c r="H85" s="16"/>
      <c r="I85" s="30">
        <f>I86+I87+I88+I89+I90+I91+I92+I93+I94+I95+I96+I97+I98</f>
        <v>212.38</v>
      </c>
      <c r="J85" s="30">
        <f>J86+J87+J88+J89+J90+J91+J92+J93+J94+J95+J96+J97+J98</f>
        <v>105173.6</v>
      </c>
      <c r="K85" s="30">
        <f>K86+K87+K88+K89+K90+K91+K92+K93+K94+K95+K96+K97+K98</f>
        <v>16100.319999999998</v>
      </c>
      <c r="L85" s="16">
        <f t="shared" si="14"/>
        <v>121486.3</v>
      </c>
    </row>
    <row r="86" spans="1:12" ht="27" customHeight="1">
      <c r="A86" s="8"/>
      <c r="B86" s="28" t="s">
        <v>81</v>
      </c>
      <c r="C86" s="8">
        <v>226</v>
      </c>
      <c r="D86" s="13">
        <v>40000</v>
      </c>
      <c r="E86" s="17">
        <f t="shared" si="15"/>
        <v>9971.3199999999979</v>
      </c>
      <c r="F86" s="13"/>
      <c r="G86" s="13"/>
      <c r="H86" s="13"/>
      <c r="I86" s="13"/>
      <c r="J86" s="17"/>
      <c r="K86" s="13">
        <f>6500+2318.16+348+586.56+135.96+77.32+5.32</f>
        <v>9971.3199999999979</v>
      </c>
      <c r="L86" s="17">
        <f t="shared" si="14"/>
        <v>9971.3199999999979</v>
      </c>
    </row>
    <row r="87" spans="1:12">
      <c r="A87" s="8"/>
      <c r="B87" s="8" t="s">
        <v>126</v>
      </c>
      <c r="C87" s="8">
        <v>226</v>
      </c>
      <c r="D87" s="13">
        <v>45000</v>
      </c>
      <c r="E87" s="17">
        <f t="shared" si="15"/>
        <v>3412.38</v>
      </c>
      <c r="F87" s="13"/>
      <c r="G87" s="13"/>
      <c r="H87" s="13"/>
      <c r="I87" s="13">
        <f>212.38</f>
        <v>212.38</v>
      </c>
      <c r="J87" s="17"/>
      <c r="K87" s="13">
        <f>3200</f>
        <v>3200</v>
      </c>
      <c r="L87" s="17">
        <f t="shared" si="14"/>
        <v>3412.38</v>
      </c>
    </row>
    <row r="88" spans="1:12">
      <c r="A88" s="8"/>
      <c r="B88" s="8" t="s">
        <v>48</v>
      </c>
      <c r="C88" s="8">
        <v>226</v>
      </c>
      <c r="D88" s="13">
        <v>10000</v>
      </c>
      <c r="E88" s="17">
        <f t="shared" si="15"/>
        <v>0</v>
      </c>
      <c r="F88" s="13"/>
      <c r="G88" s="13"/>
      <c r="H88" s="13"/>
      <c r="I88" s="13"/>
      <c r="J88" s="17"/>
      <c r="K88" s="13"/>
      <c r="L88" s="17">
        <f t="shared" si="14"/>
        <v>0</v>
      </c>
    </row>
    <row r="89" spans="1:12">
      <c r="A89" s="8"/>
      <c r="B89" s="8" t="s">
        <v>82</v>
      </c>
      <c r="C89" s="8">
        <v>226</v>
      </c>
      <c r="D89" s="13">
        <v>77000</v>
      </c>
      <c r="E89" s="17">
        <f t="shared" si="15"/>
        <v>2200</v>
      </c>
      <c r="F89" s="13"/>
      <c r="G89" s="13"/>
      <c r="H89" s="13"/>
      <c r="I89" s="13"/>
      <c r="J89" s="17"/>
      <c r="K89" s="13">
        <f>2200</f>
        <v>2200</v>
      </c>
      <c r="L89" s="17">
        <f t="shared" si="14"/>
        <v>2200</v>
      </c>
    </row>
    <row r="90" spans="1:12">
      <c r="A90" s="8"/>
      <c r="B90" s="8" t="s">
        <v>83</v>
      </c>
      <c r="C90" s="8">
        <v>226</v>
      </c>
      <c r="D90" s="13">
        <v>20000</v>
      </c>
      <c r="E90" s="17">
        <f t="shared" si="15"/>
        <v>0</v>
      </c>
      <c r="F90" s="13"/>
      <c r="G90" s="13"/>
      <c r="H90" s="13"/>
      <c r="I90" s="13"/>
      <c r="J90" s="17"/>
      <c r="K90" s="13"/>
      <c r="L90" s="17">
        <f t="shared" si="14"/>
        <v>0</v>
      </c>
    </row>
    <row r="91" spans="1:12">
      <c r="A91" s="8"/>
      <c r="B91" s="8" t="s">
        <v>84</v>
      </c>
      <c r="C91" s="8">
        <v>226</v>
      </c>
      <c r="D91" s="13">
        <v>40000</v>
      </c>
      <c r="E91" s="17">
        <f t="shared" si="15"/>
        <v>89913.600000000006</v>
      </c>
      <c r="F91" s="13"/>
      <c r="G91" s="13"/>
      <c r="H91" s="13"/>
      <c r="I91" s="13"/>
      <c r="J91" s="17">
        <f>89913.6</f>
        <v>89913.600000000006</v>
      </c>
      <c r="K91" s="13"/>
      <c r="L91" s="17">
        <f t="shared" si="14"/>
        <v>89913.600000000006</v>
      </c>
    </row>
    <row r="92" spans="1:12">
      <c r="A92" s="8"/>
      <c r="B92" s="8" t="s">
        <v>106</v>
      </c>
      <c r="C92" s="8">
        <v>226</v>
      </c>
      <c r="D92" s="13">
        <v>40000</v>
      </c>
      <c r="E92" s="17">
        <f t="shared" si="15"/>
        <v>0</v>
      </c>
      <c r="F92" s="13"/>
      <c r="G92" s="13"/>
      <c r="H92" s="13"/>
      <c r="I92" s="13"/>
      <c r="J92" s="17"/>
      <c r="K92" s="13"/>
      <c r="L92" s="17">
        <f t="shared" si="14"/>
        <v>0</v>
      </c>
    </row>
    <row r="93" spans="1:12">
      <c r="A93" s="8"/>
      <c r="B93" s="8" t="s">
        <v>85</v>
      </c>
      <c r="C93" s="8">
        <v>226</v>
      </c>
      <c r="D93" s="13">
        <v>10000</v>
      </c>
      <c r="E93" s="17">
        <f t="shared" si="15"/>
        <v>0</v>
      </c>
      <c r="F93" s="13"/>
      <c r="G93" s="13"/>
      <c r="H93" s="13"/>
      <c r="I93" s="13"/>
      <c r="J93" s="17"/>
      <c r="K93" s="13"/>
      <c r="L93" s="17">
        <f t="shared" si="14"/>
        <v>0</v>
      </c>
    </row>
    <row r="94" spans="1:12">
      <c r="A94" s="8"/>
      <c r="B94" s="8" t="s">
        <v>108</v>
      </c>
      <c r="C94" s="8">
        <v>226</v>
      </c>
      <c r="D94" s="13">
        <v>50000</v>
      </c>
      <c r="E94" s="17">
        <f t="shared" si="15"/>
        <v>0</v>
      </c>
      <c r="F94" s="13"/>
      <c r="G94" s="13"/>
      <c r="H94" s="13"/>
      <c r="I94" s="13"/>
      <c r="J94" s="17"/>
      <c r="K94" s="13"/>
      <c r="L94" s="17">
        <f t="shared" si="14"/>
        <v>0</v>
      </c>
    </row>
    <row r="95" spans="1:12">
      <c r="A95" s="8"/>
      <c r="B95" s="8" t="s">
        <v>107</v>
      </c>
      <c r="C95" s="8">
        <v>226</v>
      </c>
      <c r="D95" s="13">
        <v>3500</v>
      </c>
      <c r="E95" s="17">
        <f t="shared" si="15"/>
        <v>0</v>
      </c>
      <c r="F95" s="13"/>
      <c r="G95" s="13"/>
      <c r="H95" s="13"/>
      <c r="I95" s="13"/>
      <c r="J95" s="17"/>
      <c r="K95" s="13"/>
      <c r="L95" s="17">
        <f t="shared" si="14"/>
        <v>0</v>
      </c>
    </row>
    <row r="96" spans="1:12">
      <c r="A96" s="8"/>
      <c r="B96" s="8" t="s">
        <v>125</v>
      </c>
      <c r="C96" s="8">
        <v>226</v>
      </c>
      <c r="D96" s="13">
        <v>50000</v>
      </c>
      <c r="E96" s="17">
        <f t="shared" si="15"/>
        <v>729</v>
      </c>
      <c r="F96" s="13"/>
      <c r="G96" s="13"/>
      <c r="H96" s="13"/>
      <c r="I96" s="13"/>
      <c r="J96" s="17"/>
      <c r="K96" s="13">
        <v>729</v>
      </c>
      <c r="L96" s="17">
        <f t="shared" si="14"/>
        <v>729</v>
      </c>
    </row>
    <row r="97" spans="1:12">
      <c r="A97" s="8"/>
      <c r="B97" s="8" t="s">
        <v>78</v>
      </c>
      <c r="C97" s="8">
        <v>226</v>
      </c>
      <c r="D97" s="13">
        <v>3500</v>
      </c>
      <c r="E97" s="17">
        <f t="shared" si="15"/>
        <v>0</v>
      </c>
      <c r="F97" s="13"/>
      <c r="G97" s="13"/>
      <c r="H97" s="13"/>
      <c r="I97" s="13"/>
      <c r="J97" s="17"/>
      <c r="K97" s="13"/>
      <c r="L97" s="17">
        <f t="shared" si="14"/>
        <v>0</v>
      </c>
    </row>
    <row r="98" spans="1:12" ht="23.25">
      <c r="A98" s="8"/>
      <c r="B98" s="28" t="s">
        <v>120</v>
      </c>
      <c r="C98" s="8">
        <v>226</v>
      </c>
      <c r="D98" s="13">
        <v>50000</v>
      </c>
      <c r="E98" s="17">
        <f t="shared" si="15"/>
        <v>15260</v>
      </c>
      <c r="F98" s="13"/>
      <c r="G98" s="13"/>
      <c r="H98" s="13"/>
      <c r="I98" s="13"/>
      <c r="J98" s="17">
        <f>15260</f>
        <v>15260</v>
      </c>
      <c r="K98" s="13"/>
      <c r="L98" s="17">
        <f t="shared" si="14"/>
        <v>15260</v>
      </c>
    </row>
    <row r="99" spans="1:12">
      <c r="A99" s="6" t="s">
        <v>50</v>
      </c>
      <c r="B99" s="6" t="s">
        <v>51</v>
      </c>
      <c r="C99" s="6">
        <v>290</v>
      </c>
      <c r="D99" s="16">
        <f>D100+D101+D102</f>
        <v>102574.42</v>
      </c>
      <c r="E99" s="12">
        <f t="shared" si="15"/>
        <v>64588.000000000007</v>
      </c>
      <c r="F99" s="16"/>
      <c r="G99" s="16"/>
      <c r="H99" s="16"/>
      <c r="I99" s="30">
        <f>I100+I101+I102</f>
        <v>0</v>
      </c>
      <c r="J99" s="30">
        <f t="shared" ref="J99:K99" si="16">J100+J101+J102</f>
        <v>0</v>
      </c>
      <c r="K99" s="30">
        <f t="shared" si="16"/>
        <v>64588.000000000007</v>
      </c>
      <c r="L99" s="16">
        <f>E99+F99+G99+H99</f>
        <v>64588.000000000007</v>
      </c>
    </row>
    <row r="100" spans="1:12">
      <c r="A100" s="6"/>
      <c r="B100" s="15" t="s">
        <v>110</v>
      </c>
      <c r="C100" s="15">
        <v>290</v>
      </c>
      <c r="D100" s="17">
        <v>7500</v>
      </c>
      <c r="E100" s="17">
        <f t="shared" si="15"/>
        <v>0</v>
      </c>
      <c r="F100" s="16"/>
      <c r="G100" s="16"/>
      <c r="H100" s="16"/>
      <c r="I100" s="30"/>
      <c r="J100" s="30"/>
      <c r="K100" s="30"/>
      <c r="L100" s="17">
        <f t="shared" ref="L100:L102" si="17">E100+F100+G100+H100</f>
        <v>0</v>
      </c>
    </row>
    <row r="101" spans="1:12">
      <c r="A101" s="6"/>
      <c r="B101" s="15" t="s">
        <v>123</v>
      </c>
      <c r="C101" s="15">
        <v>290</v>
      </c>
      <c r="D101" s="17">
        <f>65074.42-72574.42+72574.42</f>
        <v>65074.42</v>
      </c>
      <c r="E101" s="17">
        <f t="shared" si="15"/>
        <v>64588.000000000007</v>
      </c>
      <c r="F101" s="17"/>
      <c r="G101" s="17"/>
      <c r="H101" s="17"/>
      <c r="I101" s="36"/>
      <c r="J101" s="36"/>
      <c r="K101" s="36">
        <f>1081.21+64588-1081.21</f>
        <v>64588.000000000007</v>
      </c>
      <c r="L101" s="17">
        <f t="shared" si="17"/>
        <v>64588.000000000007</v>
      </c>
    </row>
    <row r="102" spans="1:12">
      <c r="A102" s="15"/>
      <c r="B102" s="15" t="s">
        <v>86</v>
      </c>
      <c r="C102" s="15">
        <v>290</v>
      </c>
      <c r="D102" s="17">
        <v>30000</v>
      </c>
      <c r="E102" s="17">
        <f t="shared" si="15"/>
        <v>0</v>
      </c>
      <c r="F102" s="17"/>
      <c r="G102" s="17"/>
      <c r="H102" s="17"/>
      <c r="I102" s="17"/>
      <c r="J102" s="17"/>
      <c r="K102" s="17"/>
      <c r="L102" s="17">
        <f t="shared" si="17"/>
        <v>0</v>
      </c>
    </row>
    <row r="103" spans="1:12">
      <c r="A103" s="6" t="s">
        <v>53</v>
      </c>
      <c r="B103" s="6" t="s">
        <v>54</v>
      </c>
      <c r="C103" s="6">
        <v>300</v>
      </c>
      <c r="D103" s="12">
        <f>D104+D108</f>
        <v>2614725.58</v>
      </c>
      <c r="E103" s="12">
        <f t="shared" si="15"/>
        <v>602075.69000000006</v>
      </c>
      <c r="F103" s="12"/>
      <c r="G103" s="12"/>
      <c r="H103" s="12"/>
      <c r="I103" s="12">
        <f>I104+I108</f>
        <v>162996.84000000003</v>
      </c>
      <c r="J103" s="12">
        <f>J104+J108</f>
        <v>312608.18</v>
      </c>
      <c r="K103" s="12">
        <f>K104+K108</f>
        <v>126470.67</v>
      </c>
      <c r="L103" s="12">
        <f>E103+F103+G103+H103</f>
        <v>602075.69000000006</v>
      </c>
    </row>
    <row r="104" spans="1:12">
      <c r="A104" s="11" t="s">
        <v>55</v>
      </c>
      <c r="B104" s="11" t="s">
        <v>87</v>
      </c>
      <c r="C104" s="11">
        <v>310</v>
      </c>
      <c r="D104" s="16">
        <v>245000</v>
      </c>
      <c r="E104" s="17">
        <f t="shared" si="15"/>
        <v>0</v>
      </c>
      <c r="F104" s="16"/>
      <c r="G104" s="16"/>
      <c r="H104" s="16"/>
      <c r="I104" s="30"/>
      <c r="J104" s="30"/>
      <c r="K104" s="30"/>
      <c r="L104" s="12">
        <f t="shared" ref="L104:L114" si="18">E104+F104+G104+H104</f>
        <v>0</v>
      </c>
    </row>
    <row r="105" spans="1:12">
      <c r="A105" s="11"/>
      <c r="B105" s="11"/>
      <c r="C105" s="11">
        <v>310</v>
      </c>
      <c r="D105" s="16"/>
      <c r="E105" s="17">
        <f t="shared" si="15"/>
        <v>0</v>
      </c>
      <c r="F105" s="16"/>
      <c r="G105" s="16"/>
      <c r="H105" s="16"/>
      <c r="I105" s="33"/>
      <c r="J105" s="33"/>
      <c r="K105" s="33"/>
      <c r="L105" s="17">
        <f t="shared" si="18"/>
        <v>0</v>
      </c>
    </row>
    <row r="106" spans="1:12">
      <c r="A106" s="11"/>
      <c r="B106" s="11"/>
      <c r="C106" s="11">
        <v>310</v>
      </c>
      <c r="D106" s="16"/>
      <c r="E106" s="17">
        <f t="shared" si="15"/>
        <v>0</v>
      </c>
      <c r="F106" s="16"/>
      <c r="G106" s="16"/>
      <c r="H106" s="16"/>
      <c r="I106" s="33"/>
      <c r="J106" s="33"/>
      <c r="K106" s="33"/>
      <c r="L106" s="17">
        <f t="shared" si="18"/>
        <v>0</v>
      </c>
    </row>
    <row r="107" spans="1:12">
      <c r="A107" s="11"/>
      <c r="B107" s="11"/>
      <c r="C107" s="11">
        <v>310</v>
      </c>
      <c r="D107" s="16"/>
      <c r="E107" s="17">
        <f t="shared" si="15"/>
        <v>0</v>
      </c>
      <c r="F107" s="16"/>
      <c r="G107" s="16"/>
      <c r="H107" s="16"/>
      <c r="I107" s="33"/>
      <c r="J107" s="33"/>
      <c r="K107" s="33"/>
      <c r="L107" s="17">
        <f t="shared" si="18"/>
        <v>0</v>
      </c>
    </row>
    <row r="108" spans="1:12">
      <c r="A108" s="11" t="s">
        <v>57</v>
      </c>
      <c r="B108" s="11" t="s">
        <v>88</v>
      </c>
      <c r="C108" s="11">
        <v>340</v>
      </c>
      <c r="D108" s="16">
        <f>D109+D110+D111+D112+D113+D114</f>
        <v>2369725.58</v>
      </c>
      <c r="E108" s="12">
        <f t="shared" si="15"/>
        <v>602075.69000000006</v>
      </c>
      <c r="F108" s="16"/>
      <c r="G108" s="16"/>
      <c r="H108" s="16"/>
      <c r="I108" s="30">
        <f>I109+I110+I111+I112+I113+I114</f>
        <v>162996.84000000003</v>
      </c>
      <c r="J108" s="30">
        <f>J109+J110+J111+J112+J113+J114</f>
        <v>312608.18</v>
      </c>
      <c r="K108" s="30">
        <f t="shared" ref="K108" si="19">K109+K110+K111+K112+K113+K114</f>
        <v>126470.67</v>
      </c>
      <c r="L108" s="12">
        <f t="shared" si="18"/>
        <v>602075.69000000006</v>
      </c>
    </row>
    <row r="109" spans="1:12">
      <c r="A109" s="8"/>
      <c r="B109" s="8" t="s">
        <v>89</v>
      </c>
      <c r="C109" s="8">
        <v>340</v>
      </c>
      <c r="D109" s="13">
        <v>1804725.58</v>
      </c>
      <c r="E109" s="17">
        <f t="shared" si="15"/>
        <v>496609.13000000006</v>
      </c>
      <c r="F109" s="13"/>
      <c r="G109" s="13"/>
      <c r="H109" s="13"/>
      <c r="I109" s="13">
        <f>56100+86896.33+14948+1731</f>
        <v>159675.33000000002</v>
      </c>
      <c r="J109" s="17">
        <f>17319.19+20998+0.6+19226.63+43971.2+25822+2902.7+25500+53597.72+5992+900+10682+15610.94</f>
        <v>242522.98</v>
      </c>
      <c r="K109" s="13">
        <f>31635.13+23331.65+8772.18+11000+17819.86+1852</f>
        <v>94410.819999999992</v>
      </c>
      <c r="L109" s="17">
        <f t="shared" si="18"/>
        <v>496609.13000000006</v>
      </c>
    </row>
    <row r="110" spans="1:12">
      <c r="A110" s="8"/>
      <c r="B110" s="8" t="s">
        <v>116</v>
      </c>
      <c r="C110" s="8">
        <v>340</v>
      </c>
      <c r="D110" s="13">
        <v>210000</v>
      </c>
      <c r="E110" s="17">
        <f t="shared" si="15"/>
        <v>27720.86</v>
      </c>
      <c r="F110" s="13"/>
      <c r="G110" s="13"/>
      <c r="H110" s="13"/>
      <c r="I110" s="13">
        <f>3321.51</f>
        <v>3321.51</v>
      </c>
      <c r="J110" s="17">
        <f>8453+1600+1425+900+2165+1924</f>
        <v>16467</v>
      </c>
      <c r="K110" s="13">
        <f>7932.35</f>
        <v>7932.35</v>
      </c>
      <c r="L110" s="17">
        <f t="shared" si="18"/>
        <v>27720.86</v>
      </c>
    </row>
    <row r="111" spans="1:12">
      <c r="A111" s="8"/>
      <c r="B111" s="8" t="s">
        <v>90</v>
      </c>
      <c r="C111" s="8">
        <v>340</v>
      </c>
      <c r="D111" s="13">
        <v>120000</v>
      </c>
      <c r="E111" s="17">
        <f t="shared" si="15"/>
        <v>46889</v>
      </c>
      <c r="F111" s="13"/>
      <c r="G111" s="13"/>
      <c r="H111" s="13"/>
      <c r="I111" s="13"/>
      <c r="J111" s="17">
        <f>46889</f>
        <v>46889</v>
      </c>
      <c r="K111" s="13"/>
      <c r="L111" s="17">
        <f t="shared" si="18"/>
        <v>46889</v>
      </c>
    </row>
    <row r="112" spans="1:12">
      <c r="A112" s="8"/>
      <c r="B112" s="8" t="s">
        <v>91</v>
      </c>
      <c r="C112" s="8">
        <v>340</v>
      </c>
      <c r="D112" s="13">
        <v>50000</v>
      </c>
      <c r="E112" s="17">
        <f t="shared" si="15"/>
        <v>5205</v>
      </c>
      <c r="F112" s="13"/>
      <c r="G112" s="13"/>
      <c r="H112" s="13"/>
      <c r="I112" s="13"/>
      <c r="J112" s="17">
        <f>5205</f>
        <v>5205</v>
      </c>
      <c r="K112" s="13"/>
      <c r="L112" s="17">
        <f t="shared" si="18"/>
        <v>5205</v>
      </c>
    </row>
    <row r="113" spans="1:12">
      <c r="A113" s="8"/>
      <c r="B113" s="8" t="s">
        <v>92</v>
      </c>
      <c r="C113" s="8">
        <v>340</v>
      </c>
      <c r="D113" s="13">
        <v>150000</v>
      </c>
      <c r="E113" s="17">
        <f t="shared" si="15"/>
        <v>24127.5</v>
      </c>
      <c r="F113" s="13"/>
      <c r="G113" s="13"/>
      <c r="H113" s="13"/>
      <c r="I113" s="13"/>
      <c r="J113" s="17"/>
      <c r="K113" s="13">
        <f>24127.5</f>
        <v>24127.5</v>
      </c>
      <c r="L113" s="17">
        <f t="shared" si="18"/>
        <v>24127.5</v>
      </c>
    </row>
    <row r="114" spans="1:12">
      <c r="A114" s="8"/>
      <c r="B114" s="8" t="s">
        <v>93</v>
      </c>
      <c r="C114" s="8">
        <v>340</v>
      </c>
      <c r="D114" s="13">
        <v>35000</v>
      </c>
      <c r="E114" s="17">
        <f t="shared" ref="E114" si="20">I114+J114+K114</f>
        <v>1524.2</v>
      </c>
      <c r="F114" s="13"/>
      <c r="G114" s="13"/>
      <c r="H114" s="13"/>
      <c r="I114" s="13"/>
      <c r="J114" s="17">
        <f>1524.2</f>
        <v>1524.2</v>
      </c>
      <c r="K114" s="13"/>
      <c r="L114" s="17">
        <f t="shared" si="18"/>
        <v>1524.2</v>
      </c>
    </row>
    <row r="115" spans="1:12">
      <c r="A115" s="8"/>
      <c r="B115" s="11" t="s">
        <v>94</v>
      </c>
      <c r="C115" s="11"/>
      <c r="D115" s="16"/>
      <c r="E115" s="16">
        <f>D59+E60-E66</f>
        <v>12512.540000000037</v>
      </c>
      <c r="F115" s="16"/>
      <c r="G115" s="16"/>
      <c r="H115" s="16"/>
      <c r="I115" s="16">
        <f>D59+I60-I66</f>
        <v>288078.68</v>
      </c>
      <c r="J115" s="16">
        <f>I115+J60-J66</f>
        <v>36039.719999999972</v>
      </c>
      <c r="K115" s="16">
        <f>J115+K60-K66</f>
        <v>12512.539999999979</v>
      </c>
      <c r="L115" s="16">
        <f>E115+F115+G115+H115</f>
        <v>12512.540000000037</v>
      </c>
    </row>
    <row r="116" spans="1:12">
      <c r="A116" s="14"/>
      <c r="B116" s="14" t="s">
        <v>60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</row>
    <row r="117" spans="1:1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>
      <c r="A118" s="14"/>
      <c r="B118" s="14" t="s">
        <v>61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8"/>
    </row>
    <row r="119" spans="1:12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4"/>
    </row>
    <row r="120" spans="1:12" ht="12.7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2.75" customHeight="1"/>
    <row r="123" spans="1:12" ht="6" customHeight="1"/>
    <row r="124" spans="1:12" ht="13.5" hidden="1" customHeight="1">
      <c r="A124" s="1"/>
      <c r="B124" s="1" t="s">
        <v>95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66" t="s">
        <v>98</v>
      </c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</row>
    <row r="126" spans="1:12">
      <c r="A126" s="65" t="s">
        <v>0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</row>
    <row r="127" spans="1:12">
      <c r="A127" s="63" t="s">
        <v>96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</row>
    <row r="128" spans="1:12">
      <c r="A128" s="53" t="s">
        <v>2</v>
      </c>
      <c r="B128" s="55" t="s">
        <v>3</v>
      </c>
      <c r="C128" s="57" t="s">
        <v>4</v>
      </c>
      <c r="D128" s="59" t="s">
        <v>5</v>
      </c>
      <c r="E128" s="61" t="s">
        <v>6</v>
      </c>
      <c r="F128" s="48" t="s">
        <v>7</v>
      </c>
      <c r="G128" s="48" t="s">
        <v>8</v>
      </c>
      <c r="H128" s="48" t="s">
        <v>9</v>
      </c>
      <c r="I128" s="50" t="s">
        <v>10</v>
      </c>
      <c r="J128" s="51"/>
      <c r="K128" s="51"/>
      <c r="L128" s="52"/>
    </row>
    <row r="129" spans="1:12">
      <c r="A129" s="54"/>
      <c r="B129" s="56"/>
      <c r="C129" s="58"/>
      <c r="D129" s="60"/>
      <c r="E129" s="62"/>
      <c r="F129" s="49"/>
      <c r="G129" s="49"/>
      <c r="H129" s="49"/>
      <c r="I129" s="35" t="s">
        <v>100</v>
      </c>
      <c r="J129" s="35" t="s">
        <v>101</v>
      </c>
      <c r="K129" s="35" t="s">
        <v>102</v>
      </c>
      <c r="L129" s="4" t="s">
        <v>11</v>
      </c>
    </row>
    <row r="130" spans="1:12">
      <c r="A130" s="2"/>
      <c r="B130" s="3"/>
      <c r="C130" s="2"/>
      <c r="D130" s="29" t="s">
        <v>12</v>
      </c>
      <c r="E130" s="2"/>
      <c r="F130" s="2"/>
      <c r="G130" s="2"/>
      <c r="H130" s="2"/>
      <c r="I130" s="4" t="s">
        <v>13</v>
      </c>
      <c r="J130" s="4" t="s">
        <v>14</v>
      </c>
      <c r="K130" s="4" t="s">
        <v>14</v>
      </c>
      <c r="L130" s="4" t="s">
        <v>15</v>
      </c>
    </row>
    <row r="131" spans="1:12">
      <c r="A131" s="5">
        <v>1</v>
      </c>
      <c r="B131" s="5">
        <v>2</v>
      </c>
      <c r="C131" s="5">
        <v>3</v>
      </c>
      <c r="D131" s="5">
        <v>4</v>
      </c>
      <c r="E131" s="5">
        <v>5</v>
      </c>
      <c r="F131" s="5">
        <v>6</v>
      </c>
      <c r="G131" s="5">
        <v>7</v>
      </c>
      <c r="H131" s="5">
        <v>8</v>
      </c>
      <c r="I131" s="5">
        <v>9</v>
      </c>
      <c r="J131" s="5">
        <v>10</v>
      </c>
      <c r="K131" s="5">
        <v>11</v>
      </c>
      <c r="L131" s="5">
        <v>12</v>
      </c>
    </row>
    <row r="132" spans="1:12">
      <c r="A132" s="6">
        <v>1</v>
      </c>
      <c r="B132" s="27" t="s">
        <v>16</v>
      </c>
      <c r="C132" s="6"/>
      <c r="D132" s="12"/>
      <c r="E132" s="6"/>
      <c r="F132" s="6"/>
      <c r="G132" s="6"/>
      <c r="H132" s="6"/>
      <c r="I132" s="6"/>
      <c r="J132" s="6"/>
      <c r="K132" s="6"/>
      <c r="L132" s="6"/>
    </row>
    <row r="133" spans="1:12">
      <c r="A133" s="6">
        <v>2</v>
      </c>
      <c r="B133" s="6" t="s">
        <v>17</v>
      </c>
      <c r="C133" s="6">
        <v>180</v>
      </c>
      <c r="D133" s="12"/>
      <c r="E133" s="12">
        <f>I133+J133+K133</f>
        <v>0</v>
      </c>
      <c r="F133" s="12"/>
      <c r="G133" s="12"/>
      <c r="H133" s="12"/>
      <c r="I133" s="12"/>
      <c r="J133" s="12"/>
      <c r="K133" s="12"/>
      <c r="L133" s="12">
        <f>E133+F133+G133+H133</f>
        <v>0</v>
      </c>
    </row>
    <row r="134" spans="1:12">
      <c r="A134" s="6">
        <v>3</v>
      </c>
      <c r="B134" s="6" t="s">
        <v>18</v>
      </c>
      <c r="C134" s="6">
        <v>200</v>
      </c>
      <c r="D134" s="12"/>
      <c r="E134" s="12">
        <f t="shared" ref="E134:E136" si="21">I134+J134+K134</f>
        <v>0</v>
      </c>
      <c r="F134" s="12"/>
      <c r="G134" s="12"/>
      <c r="H134" s="12"/>
      <c r="I134" s="12"/>
      <c r="J134" s="12"/>
      <c r="K134" s="12"/>
      <c r="L134" s="12">
        <f t="shared" ref="L134:L136" si="22">E134+F134+G134+H134</f>
        <v>0</v>
      </c>
    </row>
    <row r="135" spans="1:12">
      <c r="A135" s="11" t="s">
        <v>45</v>
      </c>
      <c r="B135" s="11" t="s">
        <v>46</v>
      </c>
      <c r="C135" s="11">
        <v>226</v>
      </c>
      <c r="D135" s="16"/>
      <c r="E135" s="12">
        <f t="shared" si="21"/>
        <v>0</v>
      </c>
      <c r="F135" s="16"/>
      <c r="G135" s="16"/>
      <c r="H135" s="16"/>
      <c r="I135" s="30"/>
      <c r="J135" s="30"/>
      <c r="K135" s="30"/>
      <c r="L135" s="12">
        <f t="shared" si="22"/>
        <v>0</v>
      </c>
    </row>
    <row r="136" spans="1:12">
      <c r="A136" s="8"/>
      <c r="B136" s="8" t="s">
        <v>97</v>
      </c>
      <c r="C136" s="8">
        <v>226</v>
      </c>
      <c r="D136" s="13"/>
      <c r="E136" s="12">
        <f t="shared" si="21"/>
        <v>0</v>
      </c>
      <c r="F136" s="13"/>
      <c r="G136" s="13"/>
      <c r="H136" s="13"/>
      <c r="I136" s="13"/>
      <c r="J136" s="17"/>
      <c r="K136" s="17"/>
      <c r="L136" s="12">
        <f t="shared" si="22"/>
        <v>0</v>
      </c>
    </row>
    <row r="137" spans="1:12">
      <c r="A137" s="8"/>
      <c r="B137" s="8"/>
      <c r="C137" s="8"/>
      <c r="D137" s="13"/>
      <c r="E137" s="17"/>
      <c r="F137" s="13"/>
      <c r="G137" s="13"/>
      <c r="H137" s="13"/>
      <c r="I137" s="13"/>
      <c r="J137" s="13"/>
      <c r="K137" s="17"/>
      <c r="L137" s="17"/>
    </row>
    <row r="138" spans="1:12">
      <c r="A138" s="11"/>
      <c r="B138" s="11" t="s">
        <v>59</v>
      </c>
      <c r="C138" s="11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>
      <c r="A139" s="14"/>
      <c r="B139" s="14" t="s">
        <v>60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</row>
    <row r="140" spans="1:12">
      <c r="A140" s="14"/>
      <c r="B140" s="14" t="s">
        <v>61</v>
      </c>
      <c r="C140" s="14"/>
      <c r="D140" s="14"/>
      <c r="E140" s="14"/>
      <c r="F140" s="18"/>
      <c r="G140" s="18"/>
      <c r="H140" s="14"/>
      <c r="I140" s="14"/>
      <c r="J140" s="14"/>
      <c r="K140" s="14"/>
      <c r="L140" s="14"/>
    </row>
    <row r="141" spans="1:12">
      <c r="F141" t="s">
        <v>114</v>
      </c>
    </row>
  </sheetData>
  <mergeCells count="37"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A51:L51"/>
    <mergeCell ref="A52:L52"/>
    <mergeCell ref="I55:L55"/>
    <mergeCell ref="A125:L125"/>
    <mergeCell ref="A126:L126"/>
    <mergeCell ref="A127:L127"/>
    <mergeCell ref="A53:L53"/>
    <mergeCell ref="A54:L54"/>
    <mergeCell ref="A55:A56"/>
    <mergeCell ref="B55:B56"/>
    <mergeCell ref="C55:C56"/>
    <mergeCell ref="D55:D56"/>
    <mergeCell ref="E55:E56"/>
    <mergeCell ref="F55:F56"/>
    <mergeCell ref="G55:G56"/>
    <mergeCell ref="H55:H56"/>
    <mergeCell ref="G128:G129"/>
    <mergeCell ref="H128:H129"/>
    <mergeCell ref="I128:L128"/>
    <mergeCell ref="A128:A129"/>
    <mergeCell ref="B128:B129"/>
    <mergeCell ref="C128:C129"/>
    <mergeCell ref="D128:D129"/>
    <mergeCell ref="E128:E129"/>
    <mergeCell ref="F128:F12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0"/>
  <sheetViews>
    <sheetView workbookViewId="0">
      <selection activeCell="E10" sqref="E10"/>
    </sheetView>
  </sheetViews>
  <sheetFormatPr defaultRowHeight="15"/>
  <cols>
    <col min="1" max="1" width="6.5703125" customWidth="1"/>
    <col min="2" max="2" width="30.7109375" customWidth="1"/>
    <col min="3" max="3" width="6.7109375" customWidth="1"/>
    <col min="4" max="4" width="10" customWidth="1"/>
    <col min="5" max="5" width="11" customWidth="1"/>
    <col min="6" max="6" width="10.28515625" customWidth="1"/>
    <col min="7" max="7" width="8.140625" customWidth="1"/>
    <col min="8" max="8" width="6.5703125" customWidth="1"/>
    <col min="9" max="10" width="9.28515625" customWidth="1"/>
    <col min="11" max="11" width="10" customWidth="1"/>
    <col min="12" max="12" width="10.140625" customWidth="1"/>
    <col min="14" max="14" width="9.5703125" bestFit="1" customWidth="1"/>
  </cols>
  <sheetData>
    <row r="1" spans="1:12">
      <c r="A1" s="66" t="s">
        <v>146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>
      <c r="A4" s="53" t="s">
        <v>2</v>
      </c>
      <c r="B4" s="55" t="s">
        <v>3</v>
      </c>
      <c r="C4" s="57" t="s">
        <v>4</v>
      </c>
      <c r="D4" s="59" t="s">
        <v>5</v>
      </c>
      <c r="E4" s="61" t="s">
        <v>6</v>
      </c>
      <c r="F4" s="48" t="s">
        <v>7</v>
      </c>
      <c r="G4" s="48" t="s">
        <v>8</v>
      </c>
      <c r="H4" s="48" t="s">
        <v>9</v>
      </c>
      <c r="I4" s="50" t="s">
        <v>10</v>
      </c>
      <c r="J4" s="51"/>
      <c r="K4" s="51"/>
      <c r="L4" s="52"/>
    </row>
    <row r="5" spans="1:12">
      <c r="A5" s="54"/>
      <c r="B5" s="56"/>
      <c r="C5" s="58"/>
      <c r="D5" s="60"/>
      <c r="E5" s="62"/>
      <c r="F5" s="49"/>
      <c r="G5" s="49"/>
      <c r="H5" s="49"/>
      <c r="I5" s="37" t="s">
        <v>128</v>
      </c>
      <c r="J5" s="37" t="s">
        <v>129</v>
      </c>
      <c r="K5" s="37" t="s">
        <v>130</v>
      </c>
      <c r="L5" s="4" t="s">
        <v>11</v>
      </c>
    </row>
    <row r="6" spans="1:12">
      <c r="A6" s="2"/>
      <c r="B6" s="39"/>
      <c r="C6" s="2"/>
      <c r="D6" s="38" t="s">
        <v>12</v>
      </c>
      <c r="E6" s="2"/>
      <c r="F6" s="2"/>
      <c r="G6" s="2"/>
      <c r="H6" s="2"/>
      <c r="I6" s="4" t="s">
        <v>13</v>
      </c>
      <c r="J6" s="4" t="s">
        <v>14</v>
      </c>
      <c r="K6" s="4" t="s">
        <v>14</v>
      </c>
      <c r="L6" s="4" t="s">
        <v>15</v>
      </c>
    </row>
    <row r="7" spans="1:1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>
      <c r="A8" s="6">
        <v>1</v>
      </c>
      <c r="B8" s="27" t="s">
        <v>16</v>
      </c>
      <c r="C8" s="6"/>
      <c r="D8" s="12">
        <v>3695.9</v>
      </c>
      <c r="E8" s="6"/>
      <c r="F8" s="6"/>
      <c r="G8" s="6"/>
      <c r="H8" s="6"/>
      <c r="I8" s="6"/>
      <c r="J8" s="6"/>
      <c r="K8" s="6"/>
      <c r="L8" s="6"/>
    </row>
    <row r="9" spans="1:12">
      <c r="A9" s="6">
        <v>2</v>
      </c>
      <c r="B9" s="6" t="s">
        <v>17</v>
      </c>
      <c r="C9" s="6">
        <v>180</v>
      </c>
      <c r="D9" s="31">
        <f>5053000+35000</f>
        <v>5088000</v>
      </c>
      <c r="E9" s="12">
        <v>1259328</v>
      </c>
      <c r="F9" s="12">
        <f>I9+J9+K9</f>
        <v>1599224</v>
      </c>
      <c r="G9" s="12"/>
      <c r="H9" s="12"/>
      <c r="I9" s="12">
        <f>769000</f>
        <v>769000</v>
      </c>
      <c r="J9" s="12">
        <f>488500</f>
        <v>488500</v>
      </c>
      <c r="K9" s="12">
        <f>324724+17000</f>
        <v>341724</v>
      </c>
      <c r="L9" s="12">
        <f>E9+F9+G9+H9</f>
        <v>2858552</v>
      </c>
    </row>
    <row r="10" spans="1:12">
      <c r="A10" s="6">
        <v>3</v>
      </c>
      <c r="B10" s="6" t="s">
        <v>18</v>
      </c>
      <c r="C10" s="6">
        <v>200</v>
      </c>
      <c r="D10" s="31">
        <f>D11+D15+D41+D43</f>
        <v>5094195.9000000004</v>
      </c>
      <c r="E10" s="12">
        <v>1259359.8500000001</v>
      </c>
      <c r="F10" s="12">
        <f>I10+J10+K10</f>
        <v>1527830.5599999998</v>
      </c>
      <c r="G10" s="12"/>
      <c r="H10" s="12"/>
      <c r="I10" s="12">
        <f>I11+I15+I41+I43</f>
        <v>559549.16</v>
      </c>
      <c r="J10" s="12">
        <f>J11+J15+J41+J43</f>
        <v>598063.72</v>
      </c>
      <c r="K10" s="12">
        <f>K11+K15+K41+K43</f>
        <v>370217.68</v>
      </c>
      <c r="L10" s="12">
        <f>E10+F10+G10+H10</f>
        <v>2787190.41</v>
      </c>
    </row>
    <row r="11" spans="1:12">
      <c r="A11" s="7" t="s">
        <v>19</v>
      </c>
      <c r="B11" s="6" t="s">
        <v>20</v>
      </c>
      <c r="C11" s="6">
        <v>210</v>
      </c>
      <c r="D11" s="12">
        <f>D12+D13+D14</f>
        <v>3485300</v>
      </c>
      <c r="E11" s="12">
        <v>649465.61</v>
      </c>
      <c r="F11" s="12">
        <f t="shared" ref="F11:F55" si="0">I11+J11+K11</f>
        <v>919124.30999999994</v>
      </c>
      <c r="G11" s="12"/>
      <c r="H11" s="12"/>
      <c r="I11" s="12">
        <f>I12+I13+I14</f>
        <v>303641.83</v>
      </c>
      <c r="J11" s="12">
        <f>J12+J13+J14</f>
        <v>297300.38</v>
      </c>
      <c r="K11" s="12">
        <f>K12+K13+K14</f>
        <v>318182.09999999998</v>
      </c>
      <c r="L11" s="12">
        <f t="shared" ref="L11:L13" si="1">E11+F11+G11+H11</f>
        <v>1568589.92</v>
      </c>
    </row>
    <row r="12" spans="1:12">
      <c r="A12" s="11" t="s">
        <v>21</v>
      </c>
      <c r="B12" s="11" t="s">
        <v>22</v>
      </c>
      <c r="C12" s="11">
        <v>211</v>
      </c>
      <c r="D12" s="30">
        <f>2650000+27000</f>
        <v>2677000</v>
      </c>
      <c r="E12" s="12">
        <v>528231.39</v>
      </c>
      <c r="F12" s="12">
        <f t="shared" si="0"/>
        <v>712604.94</v>
      </c>
      <c r="G12" s="16"/>
      <c r="H12" s="16"/>
      <c r="I12" s="30">
        <f>2252.5+101089.02+3067.9+24880+10628.14+11032.08+78500-10628.14+3565.17+12502</f>
        <v>236888.67</v>
      </c>
      <c r="J12" s="30">
        <f>27736+5070.38+93182.61+31842.05+72500</f>
        <v>230331.03999999998</v>
      </c>
      <c r="K12" s="30">
        <f>98445.45+27966+952.25+67000+42075.37+8946.16</f>
        <v>245385.23</v>
      </c>
      <c r="L12" s="12">
        <f t="shared" si="1"/>
        <v>1240836.33</v>
      </c>
    </row>
    <row r="13" spans="1:12">
      <c r="A13" s="11" t="s">
        <v>23</v>
      </c>
      <c r="B13" s="11" t="s">
        <v>24</v>
      </c>
      <c r="C13" s="11">
        <v>212</v>
      </c>
      <c r="D13" s="16">
        <v>0</v>
      </c>
      <c r="E13" s="12">
        <v>0</v>
      </c>
      <c r="F13" s="12">
        <f t="shared" si="0"/>
        <v>0</v>
      </c>
      <c r="G13" s="16"/>
      <c r="H13" s="16"/>
      <c r="I13" s="16"/>
      <c r="J13" s="16"/>
      <c r="K13" s="16"/>
      <c r="L13" s="12">
        <f t="shared" si="1"/>
        <v>0</v>
      </c>
    </row>
    <row r="14" spans="1:12">
      <c r="A14" s="11" t="s">
        <v>25</v>
      </c>
      <c r="B14" s="11" t="s">
        <v>26</v>
      </c>
      <c r="C14" s="11">
        <v>213</v>
      </c>
      <c r="D14" s="30">
        <f>800300+8000</f>
        <v>808300</v>
      </c>
      <c r="E14" s="12">
        <v>121234.22</v>
      </c>
      <c r="F14" s="12">
        <f t="shared" si="0"/>
        <v>206519.37</v>
      </c>
      <c r="G14" s="16"/>
      <c r="H14" s="16"/>
      <c r="I14" s="30">
        <f>53793.76+12470.36+489.04</f>
        <v>66753.159999999989</v>
      </c>
      <c r="J14" s="30">
        <f>50768.8+461.53+11769.15+3453.86+516</f>
        <v>66969.34</v>
      </c>
      <c r="K14" s="30">
        <f>51155.87+11858.86+465.07+537.33+4.93+465.07+1233.81+6404.93+671</f>
        <v>72796.87</v>
      </c>
      <c r="L14" s="12">
        <f>E14+F14+G14+H14</f>
        <v>327753.58999999997</v>
      </c>
    </row>
    <row r="15" spans="1:12">
      <c r="A15" s="6" t="s">
        <v>27</v>
      </c>
      <c r="B15" s="6" t="s">
        <v>28</v>
      </c>
      <c r="C15" s="6">
        <v>220</v>
      </c>
      <c r="D15" s="12">
        <f>D16+D21+D27+D31+D41</f>
        <v>1177896</v>
      </c>
      <c r="E15" s="12">
        <v>440612.73</v>
      </c>
      <c r="F15" s="12">
        <f t="shared" si="0"/>
        <v>441892.25999999995</v>
      </c>
      <c r="G15" s="12"/>
      <c r="H15" s="12"/>
      <c r="I15" s="12">
        <f>I16+I21+I26+I31+I27</f>
        <v>100664.34</v>
      </c>
      <c r="J15" s="12">
        <f>J16+J21+J26+J31+J27</f>
        <v>289192.33999999997</v>
      </c>
      <c r="K15" s="12">
        <f>K16+K21+K26+K31+K27</f>
        <v>52035.58</v>
      </c>
      <c r="L15" s="12">
        <f>E15+F15+G15+H15</f>
        <v>882504.99</v>
      </c>
    </row>
    <row r="16" spans="1:12">
      <c r="A16" s="11" t="s">
        <v>29</v>
      </c>
      <c r="B16" s="11" t="s">
        <v>30</v>
      </c>
      <c r="C16" s="11">
        <v>221</v>
      </c>
      <c r="D16" s="30">
        <f>D17+D18+D19</f>
        <v>45000</v>
      </c>
      <c r="E16" s="12">
        <v>3726.44</v>
      </c>
      <c r="F16" s="12">
        <f t="shared" si="0"/>
        <v>8926.85</v>
      </c>
      <c r="G16" s="16"/>
      <c r="H16" s="16"/>
      <c r="I16" s="30">
        <f>I17+I18+I19+I20</f>
        <v>2444.1</v>
      </c>
      <c r="J16" s="30">
        <f t="shared" ref="J16:K16" si="2">J17+J18+J19+J20</f>
        <v>3420.41</v>
      </c>
      <c r="K16" s="30">
        <f t="shared" si="2"/>
        <v>3062.34</v>
      </c>
      <c r="L16" s="12">
        <f>E16+F16+G16+H16</f>
        <v>12653.29</v>
      </c>
    </row>
    <row r="17" spans="1:12">
      <c r="A17" s="8"/>
      <c r="B17" s="8" t="s">
        <v>31</v>
      </c>
      <c r="C17" s="8">
        <v>221</v>
      </c>
      <c r="D17" s="13">
        <v>14410</v>
      </c>
      <c r="E17" s="17">
        <v>0</v>
      </c>
      <c r="F17" s="17">
        <f t="shared" si="0"/>
        <v>3337.19</v>
      </c>
      <c r="G17" s="13"/>
      <c r="H17" s="13"/>
      <c r="I17" s="13">
        <f>580.88</f>
        <v>580.88</v>
      </c>
      <c r="J17" s="19">
        <f>1557.19</f>
        <v>1557.19</v>
      </c>
      <c r="K17" s="17">
        <f>1199.12</f>
        <v>1199.1199999999999</v>
      </c>
      <c r="L17" s="17">
        <f t="shared" ref="L17:L19" si="3">E17+F17+G17+H17</f>
        <v>3337.19</v>
      </c>
    </row>
    <row r="18" spans="1:12">
      <c r="A18" s="8"/>
      <c r="B18" s="8" t="s">
        <v>32</v>
      </c>
      <c r="C18" s="8">
        <v>221</v>
      </c>
      <c r="D18" s="13">
        <v>27017</v>
      </c>
      <c r="E18" s="17">
        <v>3726.44</v>
      </c>
      <c r="F18" s="17">
        <f t="shared" si="0"/>
        <v>5589.66</v>
      </c>
      <c r="G18" s="13"/>
      <c r="H18" s="13"/>
      <c r="I18" s="13">
        <f>1863.22</f>
        <v>1863.22</v>
      </c>
      <c r="J18" s="19">
        <f>1863.22</f>
        <v>1863.22</v>
      </c>
      <c r="K18" s="17">
        <f>1863.22</f>
        <v>1863.22</v>
      </c>
      <c r="L18" s="17">
        <f t="shared" si="3"/>
        <v>9316.1</v>
      </c>
    </row>
    <row r="19" spans="1:12">
      <c r="A19" s="8"/>
      <c r="B19" s="8" t="s">
        <v>33</v>
      </c>
      <c r="C19" s="8">
        <v>221</v>
      </c>
      <c r="D19" s="13">
        <v>3573</v>
      </c>
      <c r="E19" s="17">
        <v>0</v>
      </c>
      <c r="F19" s="17">
        <f t="shared" si="0"/>
        <v>0</v>
      </c>
      <c r="G19" s="13"/>
      <c r="H19" s="13"/>
      <c r="I19" s="13"/>
      <c r="J19" s="13"/>
      <c r="K19" s="13"/>
      <c r="L19" s="17">
        <f t="shared" si="3"/>
        <v>0</v>
      </c>
    </row>
    <row r="20" spans="1:12">
      <c r="A20" s="11" t="s">
        <v>34</v>
      </c>
      <c r="B20" s="11" t="s">
        <v>35</v>
      </c>
      <c r="C20" s="11">
        <v>222</v>
      </c>
      <c r="D20" s="16">
        <v>0</v>
      </c>
      <c r="E20" s="12">
        <v>0</v>
      </c>
      <c r="F20" s="17">
        <f t="shared" si="0"/>
        <v>0</v>
      </c>
      <c r="G20" s="16"/>
      <c r="H20" s="16"/>
      <c r="I20" s="16">
        <v>0</v>
      </c>
      <c r="J20" s="16">
        <v>0</v>
      </c>
      <c r="K20" s="16">
        <v>0</v>
      </c>
      <c r="L20" s="12">
        <v>0</v>
      </c>
    </row>
    <row r="21" spans="1:12">
      <c r="A21" s="11" t="s">
        <v>36</v>
      </c>
      <c r="B21" s="11" t="s">
        <v>37</v>
      </c>
      <c r="C21" s="11">
        <v>223</v>
      </c>
      <c r="D21" s="30">
        <f>D22+D23+D24+D25+D26</f>
        <v>566000</v>
      </c>
      <c r="E21" s="12">
        <v>202887.25</v>
      </c>
      <c r="F21" s="12">
        <f t="shared" si="0"/>
        <v>141077.65</v>
      </c>
      <c r="G21" s="16"/>
      <c r="H21" s="16"/>
      <c r="I21" s="30">
        <f>I22+I23+I24+I25+I26</f>
        <v>41849.479999999996</v>
      </c>
      <c r="J21" s="30">
        <f t="shared" ref="J21:K21" si="4">J22+J23+J24+J25+J26</f>
        <v>56509.93</v>
      </c>
      <c r="K21" s="30">
        <f t="shared" si="4"/>
        <v>42718.239999999998</v>
      </c>
      <c r="L21" s="12">
        <f>E21+F21+G21+H21</f>
        <v>343964.9</v>
      </c>
    </row>
    <row r="22" spans="1:12">
      <c r="A22" s="8"/>
      <c r="B22" s="8" t="s">
        <v>38</v>
      </c>
      <c r="C22" s="8">
        <v>223</v>
      </c>
      <c r="D22" s="13">
        <v>361901</v>
      </c>
      <c r="E22" s="17">
        <v>154998.63</v>
      </c>
      <c r="F22" s="17">
        <f t="shared" si="0"/>
        <v>0</v>
      </c>
      <c r="G22" s="13"/>
      <c r="H22" s="13"/>
      <c r="I22" s="13"/>
      <c r="J22" s="17"/>
      <c r="K22" s="17"/>
      <c r="L22" s="17">
        <f>E22+F22+G22+H22</f>
        <v>154998.63</v>
      </c>
    </row>
    <row r="23" spans="1:12">
      <c r="A23" s="8"/>
      <c r="B23" s="8" t="s">
        <v>39</v>
      </c>
      <c r="C23" s="8">
        <v>223</v>
      </c>
      <c r="D23" s="13">
        <v>24000</v>
      </c>
      <c r="E23" s="17">
        <v>0</v>
      </c>
      <c r="F23" s="17">
        <f t="shared" si="0"/>
        <v>83402.37</v>
      </c>
      <c r="G23" s="13"/>
      <c r="H23" s="13"/>
      <c r="I23" s="13">
        <f>33545.03</f>
        <v>33545.03</v>
      </c>
      <c r="J23" s="17">
        <f>26967.17</f>
        <v>26967.17</v>
      </c>
      <c r="K23" s="17">
        <f>22890.17</f>
        <v>22890.17</v>
      </c>
      <c r="L23" s="17">
        <f t="shared" ref="L23:L25" si="5">E23+F23+G23+H23</f>
        <v>83402.37</v>
      </c>
    </row>
    <row r="24" spans="1:12">
      <c r="A24" s="8"/>
      <c r="B24" s="8" t="s">
        <v>40</v>
      </c>
      <c r="C24" s="8">
        <v>223</v>
      </c>
      <c r="D24" s="13">
        <v>170099</v>
      </c>
      <c r="E24" s="17">
        <v>47888.62</v>
      </c>
      <c r="F24" s="17">
        <f t="shared" si="0"/>
        <v>57675.280000000006</v>
      </c>
      <c r="G24" s="13"/>
      <c r="H24" s="13"/>
      <c r="I24" s="13">
        <f>8304.45</f>
        <v>8304.4500000000007</v>
      </c>
      <c r="J24" s="17">
        <f>16468.02+13074.74</f>
        <v>29542.760000000002</v>
      </c>
      <c r="K24" s="17">
        <f>4566.53+15261.54</f>
        <v>19828.07</v>
      </c>
      <c r="L24" s="17">
        <f t="shared" si="5"/>
        <v>105563.90000000001</v>
      </c>
    </row>
    <row r="25" spans="1:12">
      <c r="A25" s="8"/>
      <c r="B25" s="8" t="s">
        <v>41</v>
      </c>
      <c r="C25" s="8">
        <v>223</v>
      </c>
      <c r="D25" s="13">
        <v>10000</v>
      </c>
      <c r="E25" s="17">
        <v>0</v>
      </c>
      <c r="F25" s="17">
        <f t="shared" si="0"/>
        <v>0</v>
      </c>
      <c r="G25" s="13"/>
      <c r="H25" s="13"/>
      <c r="I25" s="13"/>
      <c r="J25" s="13"/>
      <c r="K25" s="13"/>
      <c r="L25" s="17">
        <f t="shared" si="5"/>
        <v>0</v>
      </c>
    </row>
    <row r="26" spans="1:12">
      <c r="A26" s="11" t="s">
        <v>42</v>
      </c>
      <c r="B26" s="11" t="s">
        <v>127</v>
      </c>
      <c r="C26" s="11">
        <v>224</v>
      </c>
      <c r="D26" s="16">
        <v>0</v>
      </c>
      <c r="E26" s="17">
        <v>0</v>
      </c>
      <c r="F26" s="17">
        <f t="shared" si="0"/>
        <v>0</v>
      </c>
      <c r="G26" s="11"/>
      <c r="H26" s="11"/>
      <c r="I26" s="16">
        <v>0</v>
      </c>
      <c r="J26" s="16">
        <v>0</v>
      </c>
      <c r="K26" s="16">
        <v>0</v>
      </c>
      <c r="L26" s="17">
        <v>0</v>
      </c>
    </row>
    <row r="27" spans="1:12">
      <c r="A27" s="11" t="s">
        <v>43</v>
      </c>
      <c r="B27" s="11" t="s">
        <v>44</v>
      </c>
      <c r="C27" s="11">
        <v>225</v>
      </c>
      <c r="D27" s="30">
        <f>D28+D29+D30</f>
        <v>252596</v>
      </c>
      <c r="E27" s="12">
        <v>120216</v>
      </c>
      <c r="F27" s="12">
        <f t="shared" si="0"/>
        <v>116328</v>
      </c>
      <c r="G27" s="16"/>
      <c r="H27" s="16"/>
      <c r="I27" s="30">
        <f>I28+I29+I30</f>
        <v>8848</v>
      </c>
      <c r="J27" s="30">
        <f>J28+J29+J30</f>
        <v>106265</v>
      </c>
      <c r="K27" s="30">
        <f>K28+K29+K30</f>
        <v>1215</v>
      </c>
      <c r="L27" s="12">
        <f>E27+F27+G27+H27</f>
        <v>236544</v>
      </c>
    </row>
    <row r="28" spans="1:12" ht="44.25" customHeight="1">
      <c r="A28" s="8"/>
      <c r="B28" s="28" t="s">
        <v>135</v>
      </c>
      <c r="C28" s="8">
        <v>225</v>
      </c>
      <c r="D28" s="13">
        <v>28596</v>
      </c>
      <c r="E28" s="17">
        <v>56976</v>
      </c>
      <c r="F28" s="17">
        <f>I28+J28+K28</f>
        <v>74178</v>
      </c>
      <c r="G28" s="13"/>
      <c r="H28" s="13"/>
      <c r="I28" s="13">
        <f>465+2383</f>
        <v>2848</v>
      </c>
      <c r="J28" s="17">
        <f>34450+34450+1215</f>
        <v>70115</v>
      </c>
      <c r="K28" s="17">
        <f>1215</f>
        <v>1215</v>
      </c>
      <c r="L28" s="17">
        <f>I28+J28+K28</f>
        <v>74178</v>
      </c>
    </row>
    <row r="29" spans="1:12" ht="57">
      <c r="A29" s="8"/>
      <c r="B29" s="28" t="s">
        <v>139</v>
      </c>
      <c r="C29" s="8">
        <v>225</v>
      </c>
      <c r="D29" s="13">
        <f>344000-180000+90000+69027.61+20972.39-180000</f>
        <v>164000</v>
      </c>
      <c r="E29" s="17">
        <v>23540</v>
      </c>
      <c r="F29" s="17">
        <f t="shared" si="0"/>
        <v>6000</v>
      </c>
      <c r="G29" s="13"/>
      <c r="H29" s="13"/>
      <c r="I29" s="13">
        <f>6000</f>
        <v>6000</v>
      </c>
      <c r="J29" s="17"/>
      <c r="K29" s="17"/>
      <c r="L29" s="17">
        <f>I29+J29+K29</f>
        <v>6000</v>
      </c>
    </row>
    <row r="30" spans="1:12">
      <c r="A30" s="8"/>
      <c r="B30" s="8" t="s">
        <v>111</v>
      </c>
      <c r="C30" s="8">
        <v>225</v>
      </c>
      <c r="D30" s="13">
        <v>60000</v>
      </c>
      <c r="E30" s="17">
        <v>39700</v>
      </c>
      <c r="F30" s="17">
        <f t="shared" si="0"/>
        <v>36150</v>
      </c>
      <c r="G30" s="13"/>
      <c r="H30" s="13"/>
      <c r="I30" s="13"/>
      <c r="J30" s="17">
        <f>36150</f>
        <v>36150</v>
      </c>
      <c r="K30" s="17"/>
      <c r="L30" s="17">
        <f>I30+J30+K30</f>
        <v>36150</v>
      </c>
    </row>
    <row r="31" spans="1:12">
      <c r="A31" s="11" t="s">
        <v>45</v>
      </c>
      <c r="B31" s="11" t="s">
        <v>46</v>
      </c>
      <c r="C31" s="11">
        <v>226</v>
      </c>
      <c r="D31" s="30">
        <f>D32+D33+D34+D35+D36+D37+D40+D38+D39</f>
        <v>311800</v>
      </c>
      <c r="E31" s="12">
        <v>113783.03999999999</v>
      </c>
      <c r="F31" s="12">
        <f t="shared" si="0"/>
        <v>175559.76</v>
      </c>
      <c r="G31" s="16"/>
      <c r="H31" s="16"/>
      <c r="I31" s="30">
        <f>I32+I33+I34+I35+I36+I37</f>
        <v>47522.76</v>
      </c>
      <c r="J31" s="30">
        <f>J32+J33+J34+J35+J36+J37+J40+J38</f>
        <v>122997</v>
      </c>
      <c r="K31" s="30">
        <f>K32+K33+K34+K35+K36+K37+K38+K39+K40</f>
        <v>5040</v>
      </c>
      <c r="L31" s="12">
        <f>E31+F31+G31+H31</f>
        <v>289342.8</v>
      </c>
    </row>
    <row r="32" spans="1:12" ht="23.25">
      <c r="A32" s="8"/>
      <c r="B32" s="28" t="s">
        <v>134</v>
      </c>
      <c r="C32" s="8">
        <v>226</v>
      </c>
      <c r="D32" s="13">
        <v>22800</v>
      </c>
      <c r="E32" s="17">
        <v>8200</v>
      </c>
      <c r="F32" s="17">
        <f t="shared" si="0"/>
        <v>22900</v>
      </c>
      <c r="G32" s="13"/>
      <c r="H32" s="13"/>
      <c r="I32" s="13">
        <f>5800+2400</f>
        <v>8200</v>
      </c>
      <c r="J32" s="17">
        <f>8000+1900+2400</f>
        <v>12300</v>
      </c>
      <c r="K32" s="17">
        <f>2400</f>
        <v>2400</v>
      </c>
      <c r="L32" s="17">
        <f>E32+F32+G32+H32</f>
        <v>31100</v>
      </c>
    </row>
    <row r="33" spans="1:13" ht="23.25">
      <c r="A33" s="8"/>
      <c r="B33" s="28" t="s">
        <v>150</v>
      </c>
      <c r="C33" s="8">
        <v>226</v>
      </c>
      <c r="D33" s="13">
        <v>45000</v>
      </c>
      <c r="E33" s="17">
        <v>16134.84</v>
      </c>
      <c r="F33" s="17">
        <f t="shared" si="0"/>
        <v>6600</v>
      </c>
      <c r="G33" s="13"/>
      <c r="H33" s="13"/>
      <c r="I33" s="13">
        <f>2200</f>
        <v>2200</v>
      </c>
      <c r="J33" s="13">
        <f>2200</f>
        <v>2200</v>
      </c>
      <c r="K33" s="17">
        <f>2200</f>
        <v>2200</v>
      </c>
      <c r="L33" s="17">
        <f t="shared" ref="L33:L40" si="6">E33+F33+G33+H33</f>
        <v>22734.84</v>
      </c>
    </row>
    <row r="34" spans="1:13" ht="23.25">
      <c r="A34" s="8"/>
      <c r="B34" s="28" t="s">
        <v>118</v>
      </c>
      <c r="C34" s="8">
        <v>226</v>
      </c>
      <c r="D34" s="13">
        <v>30000</v>
      </c>
      <c r="E34" s="17">
        <v>22560</v>
      </c>
      <c r="F34" s="17">
        <f t="shared" si="0"/>
        <v>44600</v>
      </c>
      <c r="G34" s="13"/>
      <c r="H34" s="13"/>
      <c r="I34" s="13">
        <f>20000</f>
        <v>20000</v>
      </c>
      <c r="J34" s="17">
        <f>24600</f>
        <v>24600</v>
      </c>
      <c r="K34" s="17"/>
      <c r="L34" s="17">
        <f t="shared" si="6"/>
        <v>67160</v>
      </c>
    </row>
    <row r="35" spans="1:13">
      <c r="A35" s="8"/>
      <c r="B35" s="8" t="s">
        <v>112</v>
      </c>
      <c r="C35" s="8">
        <v>226</v>
      </c>
      <c r="D35" s="13">
        <v>20000</v>
      </c>
      <c r="E35" s="17">
        <v>0</v>
      </c>
      <c r="F35" s="17">
        <f t="shared" si="0"/>
        <v>0</v>
      </c>
      <c r="G35" s="13"/>
      <c r="H35" s="13"/>
      <c r="I35" s="13"/>
      <c r="J35" s="17"/>
      <c r="K35" s="17"/>
      <c r="L35" s="17">
        <f t="shared" si="6"/>
        <v>0</v>
      </c>
    </row>
    <row r="36" spans="1:13">
      <c r="A36" s="8"/>
      <c r="B36" s="8" t="s">
        <v>137</v>
      </c>
      <c r="C36" s="8">
        <v>226</v>
      </c>
      <c r="D36" s="13">
        <v>14000</v>
      </c>
      <c r="E36" s="17">
        <v>0</v>
      </c>
      <c r="F36" s="17">
        <f t="shared" si="0"/>
        <v>12039</v>
      </c>
      <c r="G36" s="13"/>
      <c r="H36" s="13"/>
      <c r="I36" s="13">
        <f>1539</f>
        <v>1539</v>
      </c>
      <c r="J36" s="13">
        <f>10500</f>
        <v>10500</v>
      </c>
      <c r="K36" s="17"/>
      <c r="L36" s="17">
        <f t="shared" si="6"/>
        <v>12039</v>
      </c>
    </row>
    <row r="37" spans="1:13">
      <c r="A37" s="8"/>
      <c r="B37" s="8" t="s">
        <v>133</v>
      </c>
      <c r="C37" s="8">
        <v>226</v>
      </c>
      <c r="D37" s="13">
        <v>40000</v>
      </c>
      <c r="E37" s="17">
        <v>43433.2</v>
      </c>
      <c r="F37" s="17">
        <f t="shared" si="0"/>
        <v>15583.76</v>
      </c>
      <c r="G37" s="13"/>
      <c r="H37" s="13"/>
      <c r="I37" s="13">
        <f>425.26+98.58+3.86+56.06+15000</f>
        <v>15583.76</v>
      </c>
      <c r="J37" s="13"/>
      <c r="K37" s="17"/>
      <c r="L37" s="17">
        <f>E37+F37+G37+H37</f>
        <v>59016.959999999999</v>
      </c>
    </row>
    <row r="38" spans="1:13">
      <c r="A38" s="8"/>
      <c r="B38" s="8" t="s">
        <v>148</v>
      </c>
      <c r="C38" s="8">
        <v>226</v>
      </c>
      <c r="D38" s="13">
        <v>90000</v>
      </c>
      <c r="E38" s="17">
        <f>0</f>
        <v>0</v>
      </c>
      <c r="F38" s="17">
        <f>I38+J38+K38</f>
        <v>73397</v>
      </c>
      <c r="G38" s="13"/>
      <c r="H38" s="13"/>
      <c r="I38" s="13"/>
      <c r="J38" s="13">
        <f>73397</f>
        <v>73397</v>
      </c>
      <c r="K38" s="17"/>
      <c r="L38" s="17">
        <f>E38+F38+G38+H38</f>
        <v>73397</v>
      </c>
    </row>
    <row r="39" spans="1:13">
      <c r="A39" s="8"/>
      <c r="B39" s="8" t="s">
        <v>152</v>
      </c>
      <c r="C39" s="8">
        <v>226</v>
      </c>
      <c r="D39" s="13">
        <v>20000</v>
      </c>
      <c r="E39" s="17">
        <f>0</f>
        <v>0</v>
      </c>
      <c r="F39" s="17">
        <f>I39+J39+K39</f>
        <v>440</v>
      </c>
      <c r="G39" s="13"/>
      <c r="H39" s="13"/>
      <c r="I39" s="13"/>
      <c r="J39" s="13"/>
      <c r="K39" s="17">
        <f>440</f>
        <v>440</v>
      </c>
      <c r="L39" s="17">
        <f>E39+F39+G39+H39</f>
        <v>440</v>
      </c>
    </row>
    <row r="40" spans="1:13">
      <c r="A40" s="8"/>
      <c r="B40" s="8" t="s">
        <v>109</v>
      </c>
      <c r="C40" s="8">
        <v>226</v>
      </c>
      <c r="D40" s="13">
        <v>30000</v>
      </c>
      <c r="E40" s="17">
        <v>23455</v>
      </c>
      <c r="F40" s="17">
        <f t="shared" si="0"/>
        <v>0</v>
      </c>
      <c r="G40" s="13"/>
      <c r="H40" s="13"/>
      <c r="I40" s="13"/>
      <c r="J40" s="13"/>
      <c r="K40" s="17"/>
      <c r="L40" s="17">
        <f t="shared" si="6"/>
        <v>23455</v>
      </c>
    </row>
    <row r="41" spans="1:13">
      <c r="A41" s="6" t="s">
        <v>50</v>
      </c>
      <c r="B41" s="6" t="s">
        <v>51</v>
      </c>
      <c r="C41" s="6">
        <v>290</v>
      </c>
      <c r="D41" s="31">
        <f>D42</f>
        <v>2500</v>
      </c>
      <c r="E41" s="12">
        <v>337.99</v>
      </c>
      <c r="F41" s="12">
        <f t="shared" si="0"/>
        <v>337.99</v>
      </c>
      <c r="G41" s="12"/>
      <c r="H41" s="12"/>
      <c r="I41" s="31">
        <f>I42</f>
        <v>337.99</v>
      </c>
      <c r="J41" s="31">
        <f t="shared" ref="J41:K41" si="7">J42</f>
        <v>0</v>
      </c>
      <c r="K41" s="31">
        <f t="shared" si="7"/>
        <v>0</v>
      </c>
      <c r="L41" s="12">
        <f>E41+F41+G41+H41</f>
        <v>675.98</v>
      </c>
    </row>
    <row r="42" spans="1:13">
      <c r="A42" s="15"/>
      <c r="B42" s="15" t="s">
        <v>52</v>
      </c>
      <c r="C42" s="15">
        <v>290</v>
      </c>
      <c r="D42" s="17">
        <f>2500</f>
        <v>2500</v>
      </c>
      <c r="E42" s="17">
        <v>337.99</v>
      </c>
      <c r="F42" s="17">
        <f t="shared" si="0"/>
        <v>337.99</v>
      </c>
      <c r="G42" s="17"/>
      <c r="H42" s="17"/>
      <c r="I42" s="17">
        <f>337.99</f>
        <v>337.99</v>
      </c>
      <c r="J42" s="17"/>
      <c r="K42" s="21"/>
      <c r="L42" s="17">
        <f>E42+F42+G42+H42</f>
        <v>675.98</v>
      </c>
    </row>
    <row r="43" spans="1:13">
      <c r="A43" s="6" t="s">
        <v>53</v>
      </c>
      <c r="B43" s="6" t="s">
        <v>54</v>
      </c>
      <c r="C43" s="6">
        <v>300</v>
      </c>
      <c r="D43" s="31">
        <f>D44+D52</f>
        <v>428499.9</v>
      </c>
      <c r="E43" s="12">
        <v>168943.52</v>
      </c>
      <c r="F43" s="12">
        <f>I43+J43+K43</f>
        <v>166476</v>
      </c>
      <c r="G43" s="12"/>
      <c r="H43" s="12"/>
      <c r="I43" s="12">
        <f>I44+I52</f>
        <v>154905</v>
      </c>
      <c r="J43" s="12">
        <f t="shared" ref="J43:K43" si="8">J52</f>
        <v>11571</v>
      </c>
      <c r="K43" s="12">
        <f t="shared" si="8"/>
        <v>0</v>
      </c>
      <c r="L43" s="12">
        <f>E43+F43+G43+H43</f>
        <v>335419.52000000002</v>
      </c>
    </row>
    <row r="44" spans="1:13">
      <c r="A44" s="24" t="s">
        <v>55</v>
      </c>
      <c r="B44" s="24" t="s">
        <v>56</v>
      </c>
      <c r="C44" s="22">
        <v>310</v>
      </c>
      <c r="D44" s="41">
        <f>D45+D46+D47+D48+D49</f>
        <v>69027.61</v>
      </c>
      <c r="E44" s="16">
        <v>0</v>
      </c>
      <c r="F44" s="16">
        <f t="shared" si="0"/>
        <v>69027.61</v>
      </c>
      <c r="G44" s="41"/>
      <c r="H44" s="41"/>
      <c r="I44" s="41">
        <f>I45+I46+I47+I48+I49</f>
        <v>69027.61</v>
      </c>
      <c r="J44" s="41">
        <v>0</v>
      </c>
      <c r="K44" s="41">
        <v>0</v>
      </c>
      <c r="L44" s="12">
        <f>E44+F44+G44+H44</f>
        <v>69027.61</v>
      </c>
    </row>
    <row r="45" spans="1:13">
      <c r="A45" s="24"/>
      <c r="B45" s="24" t="s">
        <v>138</v>
      </c>
      <c r="C45" s="22">
        <v>310</v>
      </c>
      <c r="D45" s="43">
        <v>11451.65</v>
      </c>
      <c r="E45" s="16"/>
      <c r="F45" s="17">
        <f>I45+J45+K45</f>
        <v>11451.65</v>
      </c>
      <c r="G45" s="41"/>
      <c r="H45" s="41"/>
      <c r="I45" s="43">
        <f>11451.65</f>
        <v>11451.65</v>
      </c>
      <c r="J45" s="41"/>
      <c r="K45" s="41"/>
      <c r="L45" s="17">
        <f>E45+F45+G45+H45</f>
        <v>11451.65</v>
      </c>
      <c r="M45" s="44"/>
    </row>
    <row r="46" spans="1:13">
      <c r="A46" s="24"/>
      <c r="B46" s="24" t="s">
        <v>140</v>
      </c>
      <c r="C46" s="22">
        <v>310</v>
      </c>
      <c r="D46" s="43">
        <v>6613.82</v>
      </c>
      <c r="E46" s="16"/>
      <c r="F46" s="17">
        <f t="shared" ref="F46:F49" si="9">I46+J46+K46</f>
        <v>6613.82</v>
      </c>
      <c r="G46" s="41"/>
      <c r="H46" s="41"/>
      <c r="I46" s="43">
        <v>6613.82</v>
      </c>
      <c r="J46" s="41"/>
      <c r="K46" s="41"/>
      <c r="L46" s="17">
        <f t="shared" ref="L46:L49" si="10">E46+F46+G46+H46</f>
        <v>6613.82</v>
      </c>
    </row>
    <row r="47" spans="1:13">
      <c r="A47" s="24"/>
      <c r="B47" s="24" t="s">
        <v>141</v>
      </c>
      <c r="C47" s="22">
        <v>310</v>
      </c>
      <c r="D47" s="43">
        <v>12860.2</v>
      </c>
      <c r="E47" s="16"/>
      <c r="F47" s="17">
        <f t="shared" si="9"/>
        <v>12860.2</v>
      </c>
      <c r="G47" s="41"/>
      <c r="H47" s="41"/>
      <c r="I47" s="43">
        <v>12860.2</v>
      </c>
      <c r="J47" s="41"/>
      <c r="K47" s="41"/>
      <c r="L47" s="17">
        <f t="shared" si="10"/>
        <v>12860.2</v>
      </c>
    </row>
    <row r="48" spans="1:13">
      <c r="A48" s="24"/>
      <c r="B48" s="24" t="s">
        <v>142</v>
      </c>
      <c r="C48" s="22">
        <v>310</v>
      </c>
      <c r="D48" s="43">
        <v>13227.64</v>
      </c>
      <c r="E48" s="16"/>
      <c r="F48" s="17">
        <f t="shared" si="9"/>
        <v>13227.64</v>
      </c>
      <c r="G48" s="41"/>
      <c r="H48" s="41"/>
      <c r="I48" s="43">
        <v>13227.64</v>
      </c>
      <c r="J48" s="41"/>
      <c r="K48" s="41"/>
      <c r="L48" s="17">
        <f t="shared" si="10"/>
        <v>13227.64</v>
      </c>
    </row>
    <row r="49" spans="1:14">
      <c r="A49" s="24"/>
      <c r="B49" s="24" t="s">
        <v>143</v>
      </c>
      <c r="C49" s="22">
        <v>310</v>
      </c>
      <c r="D49" s="43">
        <v>24874.3</v>
      </c>
      <c r="E49" s="16"/>
      <c r="F49" s="17">
        <f t="shared" si="9"/>
        <v>24874.3</v>
      </c>
      <c r="G49" s="41"/>
      <c r="H49" s="41"/>
      <c r="I49" s="43">
        <v>24874.3</v>
      </c>
      <c r="J49" s="41"/>
      <c r="K49" s="41"/>
      <c r="L49" s="17">
        <f t="shared" si="10"/>
        <v>24874.3</v>
      </c>
      <c r="N49" s="44"/>
    </row>
    <row r="50" spans="1:14">
      <c r="A50" s="24"/>
      <c r="B50" s="24"/>
      <c r="C50" s="22">
        <v>310</v>
      </c>
      <c r="D50" s="41"/>
      <c r="E50" s="16"/>
      <c r="F50" s="16"/>
      <c r="G50" s="41"/>
      <c r="H50" s="41"/>
      <c r="I50" s="41"/>
      <c r="J50" s="41"/>
      <c r="K50" s="41"/>
      <c r="L50" s="12"/>
    </row>
    <row r="51" spans="1:14">
      <c r="A51" s="24"/>
      <c r="B51" s="24"/>
      <c r="C51" s="22">
        <v>310</v>
      </c>
      <c r="D51" s="41"/>
      <c r="E51" s="16"/>
      <c r="F51" s="16"/>
      <c r="G51" s="41"/>
      <c r="H51" s="41"/>
      <c r="I51" s="41"/>
      <c r="J51" s="41"/>
      <c r="K51" s="41"/>
      <c r="L51" s="12"/>
    </row>
    <row r="52" spans="1:14">
      <c r="A52" s="11" t="s">
        <v>57</v>
      </c>
      <c r="B52" s="11" t="s">
        <v>58</v>
      </c>
      <c r="C52" s="25">
        <v>340</v>
      </c>
      <c r="D52" s="30">
        <f>D53+D55+D54</f>
        <v>359472.29000000004</v>
      </c>
      <c r="E52" s="12">
        <v>168943.52</v>
      </c>
      <c r="F52" s="12">
        <f t="shared" si="0"/>
        <v>97448.39</v>
      </c>
      <c r="G52" s="16"/>
      <c r="H52" s="16"/>
      <c r="I52" s="30">
        <f>I53+I55</f>
        <v>85877.39</v>
      </c>
      <c r="J52" s="30">
        <f>J53+J55</f>
        <v>11571</v>
      </c>
      <c r="K52" s="30">
        <f>K53+K55</f>
        <v>0</v>
      </c>
      <c r="L52" s="12">
        <f>E52+F52+G52+H52</f>
        <v>266391.90999999997</v>
      </c>
    </row>
    <row r="53" spans="1:14">
      <c r="A53" s="8"/>
      <c r="B53" s="8" t="s">
        <v>117</v>
      </c>
      <c r="C53" s="8">
        <v>340</v>
      </c>
      <c r="D53" s="13">
        <f>288700+3695.9</f>
        <v>292395.90000000002</v>
      </c>
      <c r="E53" s="17">
        <v>55662.3</v>
      </c>
      <c r="F53" s="17">
        <f t="shared" si="0"/>
        <v>51105.39</v>
      </c>
      <c r="G53" s="13"/>
      <c r="H53" s="13"/>
      <c r="I53" s="13">
        <f>20972.39+30133</f>
        <v>51105.39</v>
      </c>
      <c r="J53" s="17"/>
      <c r="K53" s="17"/>
      <c r="L53" s="17">
        <f t="shared" ref="L53:L55" si="11">E53+F53+G53+H53</f>
        <v>106767.69</v>
      </c>
    </row>
    <row r="54" spans="1:14">
      <c r="A54" s="8"/>
      <c r="B54" s="8" t="s">
        <v>149</v>
      </c>
      <c r="C54" s="8">
        <v>340</v>
      </c>
      <c r="D54" s="13">
        <v>20972.39</v>
      </c>
      <c r="E54" s="17"/>
      <c r="F54" s="17"/>
      <c r="G54" s="13"/>
      <c r="H54" s="13"/>
      <c r="I54" s="13"/>
      <c r="J54" s="17"/>
      <c r="K54" s="17"/>
      <c r="L54" s="17"/>
    </row>
    <row r="55" spans="1:14">
      <c r="A55" s="8"/>
      <c r="B55" s="8" t="s">
        <v>121</v>
      </c>
      <c r="C55" s="8">
        <v>340</v>
      </c>
      <c r="D55" s="13">
        <v>46104</v>
      </c>
      <c r="E55" s="17">
        <v>113281.22</v>
      </c>
      <c r="F55" s="17">
        <f t="shared" si="0"/>
        <v>46343</v>
      </c>
      <c r="G55" s="13"/>
      <c r="H55" s="13"/>
      <c r="I55" s="13">
        <f>30277+295+4200</f>
        <v>34772</v>
      </c>
      <c r="J55" s="17">
        <f>11571</f>
        <v>11571</v>
      </c>
      <c r="K55" s="17"/>
      <c r="L55" s="17">
        <f t="shared" si="11"/>
        <v>159624.22</v>
      </c>
    </row>
    <row r="56" spans="1:14">
      <c r="A56" s="11"/>
      <c r="B56" s="11" t="s">
        <v>59</v>
      </c>
      <c r="C56" s="11"/>
      <c r="D56" s="16"/>
      <c r="E56" s="16">
        <f>D8+E9-E10</f>
        <v>3664.0499999998137</v>
      </c>
      <c r="F56" s="16">
        <f>E56+F9-F10</f>
        <v>75057.489999999991</v>
      </c>
      <c r="G56" s="16"/>
      <c r="H56" s="16"/>
      <c r="I56" s="16">
        <f>E56+I9-I10</f>
        <v>213114.88999999978</v>
      </c>
      <c r="J56" s="16">
        <f>I56+J9-J10</f>
        <v>103551.16999999981</v>
      </c>
      <c r="K56" s="16">
        <f>J56+K9-K10</f>
        <v>75057.489999999816</v>
      </c>
      <c r="L56" s="16">
        <f>E56+F56+G56+H56</f>
        <v>78721.539999999804</v>
      </c>
    </row>
    <row r="57" spans="1:14">
      <c r="A57" s="14"/>
      <c r="B57" s="14" t="s">
        <v>60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4">
      <c r="A58" s="14"/>
      <c r="B58" s="14" t="s">
        <v>61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4">
      <c r="A59" s="65" t="s">
        <v>147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</row>
    <row r="60" spans="1:14">
      <c r="A60" s="65" t="s">
        <v>0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</row>
    <row r="61" spans="1:14">
      <c r="A61" s="63" t="s">
        <v>62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</row>
    <row r="62" spans="1:14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</row>
    <row r="63" spans="1:14">
      <c r="A63" s="53" t="s">
        <v>2</v>
      </c>
      <c r="B63" s="55" t="s">
        <v>3</v>
      </c>
      <c r="C63" s="53" t="s">
        <v>4</v>
      </c>
      <c r="D63" s="59" t="s">
        <v>5</v>
      </c>
      <c r="E63" s="48" t="s">
        <v>63</v>
      </c>
      <c r="F63" s="48" t="s">
        <v>7</v>
      </c>
      <c r="G63" s="48" t="s">
        <v>8</v>
      </c>
      <c r="H63" s="48" t="s">
        <v>9</v>
      </c>
      <c r="I63" s="50" t="s">
        <v>10</v>
      </c>
      <c r="J63" s="51"/>
      <c r="K63" s="51"/>
      <c r="L63" s="52"/>
    </row>
    <row r="64" spans="1:14">
      <c r="A64" s="54"/>
      <c r="B64" s="56"/>
      <c r="C64" s="54"/>
      <c r="D64" s="60"/>
      <c r="E64" s="49"/>
      <c r="F64" s="49"/>
      <c r="G64" s="49"/>
      <c r="H64" s="49"/>
      <c r="I64" s="37" t="s">
        <v>128</v>
      </c>
      <c r="J64" s="37" t="s">
        <v>131</v>
      </c>
      <c r="K64" s="37" t="s">
        <v>130</v>
      </c>
      <c r="L64" s="4" t="s">
        <v>11</v>
      </c>
    </row>
    <row r="65" spans="1:12">
      <c r="A65" s="9"/>
      <c r="B65" s="10"/>
      <c r="C65" s="9"/>
      <c r="D65" s="2" t="s">
        <v>12</v>
      </c>
      <c r="E65" s="2"/>
      <c r="F65" s="2"/>
      <c r="G65" s="2"/>
      <c r="H65" s="2"/>
      <c r="I65" s="4" t="s">
        <v>13</v>
      </c>
      <c r="J65" s="4" t="s">
        <v>14</v>
      </c>
      <c r="K65" s="4" t="s">
        <v>14</v>
      </c>
      <c r="L65" s="4" t="s">
        <v>15</v>
      </c>
    </row>
    <row r="66" spans="1:12">
      <c r="A66" s="5">
        <v>1</v>
      </c>
      <c r="B66" s="5">
        <v>2</v>
      </c>
      <c r="C66" s="5">
        <v>3</v>
      </c>
      <c r="D66" s="5"/>
      <c r="E66" s="5"/>
      <c r="F66" s="5"/>
      <c r="G66" s="5"/>
      <c r="H66" s="5"/>
      <c r="I66" s="5">
        <v>5</v>
      </c>
      <c r="J66" s="5"/>
      <c r="K66" s="5"/>
      <c r="L66" s="5">
        <v>7</v>
      </c>
    </row>
    <row r="67" spans="1:12">
      <c r="A67" s="6">
        <v>1</v>
      </c>
      <c r="B67" s="6" t="s">
        <v>64</v>
      </c>
      <c r="C67" s="6"/>
      <c r="D67" s="12"/>
      <c r="E67" s="12"/>
      <c r="F67" s="12"/>
      <c r="G67" s="12"/>
      <c r="H67" s="12"/>
      <c r="I67" s="12"/>
      <c r="J67" s="12"/>
      <c r="K67" s="12"/>
      <c r="L67" s="6"/>
    </row>
    <row r="68" spans="1:12">
      <c r="A68" s="6">
        <v>2</v>
      </c>
      <c r="B68" s="6" t="s">
        <v>65</v>
      </c>
      <c r="C68" s="6"/>
      <c r="D68" s="12">
        <f>4700000</f>
        <v>4700000</v>
      </c>
      <c r="E68" s="12">
        <v>1101441.6000000001</v>
      </c>
      <c r="F68" s="12">
        <f>I68+J68+K68</f>
        <v>1863497.6600000001</v>
      </c>
      <c r="G68" s="12"/>
      <c r="H68" s="12"/>
      <c r="I68" s="12">
        <f>140490+46830+81952.5</f>
        <v>269272.5</v>
      </c>
      <c r="J68" s="12">
        <f>126441+131124+63220.5+210735+421470+37590+48330</f>
        <v>1038910.5</v>
      </c>
      <c r="K68" s="12">
        <f>28350+105367.5+140490+280980+127.16</f>
        <v>555314.66</v>
      </c>
      <c r="L68" s="12">
        <f>E68+F68+G68+H68</f>
        <v>2964939.2600000002</v>
      </c>
    </row>
    <row r="69" spans="1:12">
      <c r="A69" s="6"/>
      <c r="B69" s="8" t="s">
        <v>66</v>
      </c>
      <c r="C69" s="6"/>
      <c r="D69" s="12"/>
      <c r="E69" s="12"/>
      <c r="F69" s="12"/>
      <c r="G69" s="12"/>
      <c r="H69" s="12"/>
      <c r="I69" s="12"/>
      <c r="J69" s="16"/>
      <c r="K69" s="12"/>
      <c r="L69" s="12"/>
    </row>
    <row r="70" spans="1:12">
      <c r="A70" s="8" t="s">
        <v>67</v>
      </c>
      <c r="B70" s="8" t="s">
        <v>68</v>
      </c>
      <c r="C70" s="6">
        <v>130</v>
      </c>
      <c r="D70" s="12">
        <f>E70+F70+G70+H70</f>
        <v>0</v>
      </c>
      <c r="E70" s="12">
        <v>0</v>
      </c>
      <c r="F70" s="12">
        <f t="shared" ref="F70" si="12">I70+J70+K70</f>
        <v>0</v>
      </c>
      <c r="G70" s="13"/>
      <c r="H70" s="13"/>
      <c r="I70" s="12"/>
      <c r="J70" s="12"/>
      <c r="K70" s="12"/>
      <c r="L70" s="12">
        <f>E70+F70+G70+H70</f>
        <v>0</v>
      </c>
    </row>
    <row r="71" spans="1:12">
      <c r="A71" s="6"/>
      <c r="B71" s="8" t="s">
        <v>69</v>
      </c>
      <c r="C71" s="6"/>
      <c r="D71" s="12"/>
      <c r="E71" s="13"/>
      <c r="F71" s="13"/>
      <c r="G71" s="13"/>
      <c r="H71" s="13"/>
      <c r="I71" s="12"/>
      <c r="J71" s="20"/>
      <c r="K71" s="26"/>
      <c r="L71" s="12"/>
    </row>
    <row r="72" spans="1:12">
      <c r="A72" s="15"/>
      <c r="B72" s="15" t="s">
        <v>70</v>
      </c>
      <c r="C72" s="15"/>
      <c r="D72" s="12"/>
      <c r="E72" s="17"/>
      <c r="F72" s="17"/>
      <c r="G72" s="17"/>
      <c r="H72" s="17"/>
      <c r="I72" s="17"/>
      <c r="J72" s="19"/>
      <c r="K72" s="19" t="s">
        <v>95</v>
      </c>
      <c r="L72" s="17"/>
    </row>
    <row r="73" spans="1:12">
      <c r="A73" s="6"/>
      <c r="B73" s="8" t="s">
        <v>71</v>
      </c>
      <c r="C73" s="6"/>
      <c r="D73" s="12"/>
      <c r="E73" s="17"/>
      <c r="F73" s="13"/>
      <c r="G73" s="13"/>
      <c r="H73" s="13"/>
      <c r="I73" s="17"/>
      <c r="J73" s="19"/>
      <c r="K73" s="19"/>
      <c r="L73" s="17"/>
    </row>
    <row r="74" spans="1:12">
      <c r="A74" s="6">
        <v>3</v>
      </c>
      <c r="B74" s="6" t="s">
        <v>18</v>
      </c>
      <c r="C74" s="6">
        <v>200</v>
      </c>
      <c r="D74" s="12">
        <f>D75+D79+D108+D112</f>
        <v>4802574.42</v>
      </c>
      <c r="E74" s="12">
        <v>1088929.06</v>
      </c>
      <c r="F74" s="12">
        <f>I74+J74+K74</f>
        <v>1838549.48</v>
      </c>
      <c r="G74" s="12"/>
      <c r="H74" s="12"/>
      <c r="I74" s="12">
        <f>I75+I79+I108+I112</f>
        <v>281009.08999999997</v>
      </c>
      <c r="J74" s="12">
        <f>J75+J79+J108+J112</f>
        <v>601093.24</v>
      </c>
      <c r="K74" s="12">
        <f>K75+K79+K108+K112</f>
        <v>956447.14999999991</v>
      </c>
      <c r="L74" s="16">
        <f>E74+F74+G74+H74</f>
        <v>2927478.54</v>
      </c>
    </row>
    <row r="75" spans="1:12">
      <c r="A75" s="7" t="s">
        <v>19</v>
      </c>
      <c r="B75" s="6" t="s">
        <v>20</v>
      </c>
      <c r="C75" s="6">
        <v>210</v>
      </c>
      <c r="D75" s="12">
        <f>D76+D77+D78</f>
        <v>1112700</v>
      </c>
      <c r="E75" s="12">
        <v>245976.12</v>
      </c>
      <c r="F75" s="12">
        <f t="shared" ref="F75:F123" si="13">I75+J75+K75</f>
        <v>409670.12</v>
      </c>
      <c r="G75" s="12"/>
      <c r="H75" s="12"/>
      <c r="I75" s="12">
        <f>I76+I77+I78</f>
        <v>131765.07999999999</v>
      </c>
      <c r="J75" s="12">
        <f>J76+J77+J78</f>
        <v>6700</v>
      </c>
      <c r="K75" s="12">
        <f t="shared" ref="K75" si="14">K76+K77+K78</f>
        <v>271205.03999999998</v>
      </c>
      <c r="L75" s="17">
        <f t="shared" ref="L75:L123" si="15">E75+F75+G75+H75</f>
        <v>655646.24</v>
      </c>
    </row>
    <row r="76" spans="1:12">
      <c r="A76" s="11" t="s">
        <v>21</v>
      </c>
      <c r="B76" s="11" t="s">
        <v>22</v>
      </c>
      <c r="C76" s="11">
        <v>211</v>
      </c>
      <c r="D76" s="16">
        <v>837200</v>
      </c>
      <c r="E76" s="17">
        <v>180550</v>
      </c>
      <c r="F76" s="12">
        <f t="shared" si="13"/>
        <v>305891.05</v>
      </c>
      <c r="G76" s="16"/>
      <c r="H76" s="16"/>
      <c r="I76" s="30">
        <f>87043+13007</f>
        <v>100050</v>
      </c>
      <c r="J76" s="32"/>
      <c r="K76" s="32">
        <f>179675.05+26166</f>
        <v>205841.05</v>
      </c>
      <c r="L76" s="17">
        <f t="shared" si="15"/>
        <v>486441.05</v>
      </c>
    </row>
    <row r="77" spans="1:12">
      <c r="A77" s="11" t="s">
        <v>23</v>
      </c>
      <c r="B77" s="11" t="s">
        <v>24</v>
      </c>
      <c r="C77" s="11">
        <v>212</v>
      </c>
      <c r="D77" s="16">
        <v>22500</v>
      </c>
      <c r="E77" s="17">
        <v>10900</v>
      </c>
      <c r="F77" s="12">
        <f t="shared" si="13"/>
        <v>11400</v>
      </c>
      <c r="G77" s="16"/>
      <c r="H77" s="16"/>
      <c r="I77" s="30">
        <f>1400+100</f>
        <v>1500</v>
      </c>
      <c r="J77" s="30">
        <f>5600+1100</f>
        <v>6700</v>
      </c>
      <c r="K77" s="32">
        <f>2800+400</f>
        <v>3200</v>
      </c>
      <c r="L77" s="17">
        <f t="shared" si="15"/>
        <v>22300</v>
      </c>
    </row>
    <row r="78" spans="1:12">
      <c r="A78" s="11" t="s">
        <v>72</v>
      </c>
      <c r="B78" s="11" t="s">
        <v>73</v>
      </c>
      <c r="C78" s="11">
        <v>213</v>
      </c>
      <c r="D78" s="16">
        <v>253000</v>
      </c>
      <c r="E78" s="17">
        <v>54526.12</v>
      </c>
      <c r="F78" s="12">
        <f t="shared" si="13"/>
        <v>92379.069999999992</v>
      </c>
      <c r="G78" s="16"/>
      <c r="H78" s="16"/>
      <c r="I78" s="30">
        <f>22011+5102.54+2901.44+200.1</f>
        <v>30215.079999999998</v>
      </c>
      <c r="J78" s="32"/>
      <c r="K78" s="32">
        <f>45285.03+10497.9+5969.38+411.68</f>
        <v>62163.99</v>
      </c>
      <c r="L78" s="17">
        <f t="shared" si="15"/>
        <v>146905.19</v>
      </c>
    </row>
    <row r="79" spans="1:12">
      <c r="A79" s="6" t="s">
        <v>27</v>
      </c>
      <c r="B79" s="6" t="s">
        <v>28</v>
      </c>
      <c r="C79" s="6">
        <v>220</v>
      </c>
      <c r="D79" s="12">
        <f>D80+D81+D82+D83+D84+D94+D108</f>
        <v>972574.42</v>
      </c>
      <c r="E79" s="12">
        <v>176289.25</v>
      </c>
      <c r="F79" s="12">
        <f t="shared" si="13"/>
        <v>287454.55</v>
      </c>
      <c r="G79" s="16"/>
      <c r="H79" s="12"/>
      <c r="I79" s="12">
        <f>I80+I81+I82+I83+I84+I94</f>
        <v>57226.45</v>
      </c>
      <c r="J79" s="12">
        <f>J80+J81+J82+J83+J84+J94</f>
        <v>82862.040000000008</v>
      </c>
      <c r="K79" s="12">
        <f>K80+K81+K82+K83+K84+K94</f>
        <v>147366.06</v>
      </c>
      <c r="L79" s="16">
        <f t="shared" si="15"/>
        <v>463743.8</v>
      </c>
    </row>
    <row r="80" spans="1:12">
      <c r="A80" s="11" t="s">
        <v>29</v>
      </c>
      <c r="B80" s="11" t="s">
        <v>74</v>
      </c>
      <c r="C80" s="11">
        <v>221</v>
      </c>
      <c r="D80" s="16">
        <v>0</v>
      </c>
      <c r="E80" s="12">
        <v>0</v>
      </c>
      <c r="F80" s="12">
        <f t="shared" si="13"/>
        <v>0</v>
      </c>
      <c r="G80" s="16"/>
      <c r="H80" s="16"/>
      <c r="I80" s="16"/>
      <c r="J80" s="16"/>
      <c r="K80" s="16"/>
      <c r="L80" s="17">
        <f t="shared" si="15"/>
        <v>0</v>
      </c>
    </row>
    <row r="81" spans="1:12">
      <c r="A81" s="11" t="s">
        <v>34</v>
      </c>
      <c r="B81" s="11" t="s">
        <v>35</v>
      </c>
      <c r="C81" s="11">
        <v>222</v>
      </c>
      <c r="D81" s="16">
        <v>60000</v>
      </c>
      <c r="E81" s="16">
        <v>0</v>
      </c>
      <c r="F81" s="12">
        <f t="shared" si="13"/>
        <v>0</v>
      </c>
      <c r="G81" s="16"/>
      <c r="H81" s="16"/>
      <c r="I81" s="30"/>
      <c r="J81" s="30"/>
      <c r="K81" s="30"/>
      <c r="L81" s="17">
        <f t="shared" si="15"/>
        <v>0</v>
      </c>
    </row>
    <row r="82" spans="1:12">
      <c r="A82" s="11" t="s">
        <v>36</v>
      </c>
      <c r="B82" s="11" t="s">
        <v>37</v>
      </c>
      <c r="C82" s="11">
        <v>223</v>
      </c>
      <c r="D82" s="16">
        <v>0</v>
      </c>
      <c r="E82" s="16">
        <v>0</v>
      </c>
      <c r="F82" s="12">
        <f t="shared" si="13"/>
        <v>0</v>
      </c>
      <c r="G82" s="16"/>
      <c r="H82" s="16"/>
      <c r="I82" s="16"/>
      <c r="J82" s="16"/>
      <c r="K82" s="16"/>
      <c r="L82" s="17">
        <f t="shared" si="15"/>
        <v>0</v>
      </c>
    </row>
    <row r="83" spans="1:12">
      <c r="A83" s="11" t="s">
        <v>42</v>
      </c>
      <c r="B83" s="11" t="s">
        <v>75</v>
      </c>
      <c r="C83" s="11">
        <v>224</v>
      </c>
      <c r="D83" s="16">
        <v>42000</v>
      </c>
      <c r="E83" s="16">
        <v>0</v>
      </c>
      <c r="F83" s="12">
        <f t="shared" si="13"/>
        <v>0</v>
      </c>
      <c r="G83" s="16"/>
      <c r="H83" s="16"/>
      <c r="I83" s="30"/>
      <c r="J83" s="30"/>
      <c r="K83" s="30"/>
      <c r="L83" s="17">
        <f t="shared" si="15"/>
        <v>0</v>
      </c>
    </row>
    <row r="84" spans="1:12">
      <c r="A84" s="11" t="s">
        <v>43</v>
      </c>
      <c r="B84" s="11" t="s">
        <v>44</v>
      </c>
      <c r="C84" s="11">
        <v>225</v>
      </c>
      <c r="D84" s="16">
        <f>D85+D86+D87+D88+D89+D90+D91+D93+D92</f>
        <v>329000</v>
      </c>
      <c r="E84" s="12">
        <v>54802.95</v>
      </c>
      <c r="F84" s="12">
        <f t="shared" si="13"/>
        <v>120231.16</v>
      </c>
      <c r="G84" s="12"/>
      <c r="H84" s="12"/>
      <c r="I84" s="31">
        <f>I85+I86+I87+I88+I89+I90+I91+I93</f>
        <v>19654.849999999999</v>
      </c>
      <c r="J84" s="31">
        <f>J85+J86+J87+J88+J89+J90+J91+J93</f>
        <v>24016.5</v>
      </c>
      <c r="K84" s="31">
        <f>K85+K86+K87+K88+K89+K90+K91+K93+K92</f>
        <v>76559.81</v>
      </c>
      <c r="L84" s="16">
        <f t="shared" si="15"/>
        <v>175034.11</v>
      </c>
    </row>
    <row r="85" spans="1:12">
      <c r="A85" s="8"/>
      <c r="B85" s="8" t="s">
        <v>76</v>
      </c>
      <c r="C85" s="8">
        <v>225</v>
      </c>
      <c r="D85" s="13">
        <v>90000</v>
      </c>
      <c r="E85" s="17">
        <v>30456.959999999999</v>
      </c>
      <c r="F85" s="17">
        <f t="shared" si="13"/>
        <v>49696.1</v>
      </c>
      <c r="G85" s="13"/>
      <c r="H85" s="13"/>
      <c r="I85" s="13">
        <f>9005+1345+2277+527.85</f>
        <v>13154.85</v>
      </c>
      <c r="J85" s="17">
        <f>10005+1495+586.5+2530</f>
        <v>14616.5</v>
      </c>
      <c r="K85" s="13">
        <f>15008+3795+2242+879.75</f>
        <v>21924.75</v>
      </c>
      <c r="L85" s="17">
        <f t="shared" si="15"/>
        <v>80153.06</v>
      </c>
    </row>
    <row r="86" spans="1:12">
      <c r="A86" s="8"/>
      <c r="B86" s="8" t="s">
        <v>124</v>
      </c>
      <c r="C86" s="8">
        <v>225</v>
      </c>
      <c r="D86" s="13">
        <v>40000</v>
      </c>
      <c r="E86" s="17">
        <v>5922</v>
      </c>
      <c r="F86" s="17">
        <f t="shared" si="13"/>
        <v>4766</v>
      </c>
      <c r="G86" s="13"/>
      <c r="H86" s="13"/>
      <c r="I86" s="13"/>
      <c r="J86" s="17">
        <f>2383</f>
        <v>2383</v>
      </c>
      <c r="K86" s="13">
        <f>2383</f>
        <v>2383</v>
      </c>
      <c r="L86" s="17">
        <f t="shared" si="15"/>
        <v>10688</v>
      </c>
    </row>
    <row r="87" spans="1:12">
      <c r="A87" s="8"/>
      <c r="B87" s="8" t="s">
        <v>77</v>
      </c>
      <c r="C87" s="8">
        <v>225</v>
      </c>
      <c r="D87" s="13">
        <v>29000</v>
      </c>
      <c r="E87" s="17">
        <v>0</v>
      </c>
      <c r="F87" s="17">
        <f t="shared" si="13"/>
        <v>13600</v>
      </c>
      <c r="G87" s="13"/>
      <c r="H87" s="13"/>
      <c r="I87" s="13"/>
      <c r="J87" s="17"/>
      <c r="K87" s="13">
        <f>13600</f>
        <v>13600</v>
      </c>
      <c r="L87" s="17">
        <f t="shared" si="15"/>
        <v>13600</v>
      </c>
    </row>
    <row r="88" spans="1:12">
      <c r="A88" s="8"/>
      <c r="B88" s="8" t="s">
        <v>151</v>
      </c>
      <c r="C88" s="8">
        <v>225</v>
      </c>
      <c r="D88" s="13">
        <v>40000</v>
      </c>
      <c r="E88" s="17">
        <v>8652.99</v>
      </c>
      <c r="F88" s="17">
        <f t="shared" si="13"/>
        <v>9042.06</v>
      </c>
      <c r="G88" s="13"/>
      <c r="H88" s="13"/>
      <c r="I88" s="13"/>
      <c r="J88" s="17"/>
      <c r="K88" s="13">
        <f>3042.06+6000</f>
        <v>9042.06</v>
      </c>
      <c r="L88" s="17">
        <f t="shared" si="15"/>
        <v>17695.05</v>
      </c>
    </row>
    <row r="89" spans="1:12">
      <c r="A89" s="8"/>
      <c r="B89" s="8" t="s">
        <v>79</v>
      </c>
      <c r="C89" s="8">
        <v>225</v>
      </c>
      <c r="D89" s="13">
        <v>30000</v>
      </c>
      <c r="E89" s="17">
        <v>1350</v>
      </c>
      <c r="F89" s="17">
        <f t="shared" si="13"/>
        <v>7017</v>
      </c>
      <c r="G89" s="13"/>
      <c r="H89" s="13"/>
      <c r="I89" s="13"/>
      <c r="J89" s="17">
        <f>7017</f>
        <v>7017</v>
      </c>
      <c r="K89" s="13"/>
      <c r="L89" s="17">
        <f t="shared" si="15"/>
        <v>8367</v>
      </c>
    </row>
    <row r="90" spans="1:12">
      <c r="A90" s="8"/>
      <c r="B90" s="8" t="s">
        <v>105</v>
      </c>
      <c r="C90" s="8">
        <v>225</v>
      </c>
      <c r="D90" s="13">
        <v>20000</v>
      </c>
      <c r="E90" s="17">
        <v>0</v>
      </c>
      <c r="F90" s="17">
        <f t="shared" si="13"/>
        <v>0</v>
      </c>
      <c r="G90" s="13"/>
      <c r="H90" s="13"/>
      <c r="I90" s="13"/>
      <c r="J90" s="17"/>
      <c r="K90" s="13"/>
      <c r="L90" s="17">
        <f t="shared" si="15"/>
        <v>0</v>
      </c>
    </row>
    <row r="91" spans="1:12">
      <c r="A91" s="8"/>
      <c r="B91" s="8" t="s">
        <v>80</v>
      </c>
      <c r="C91" s="8">
        <v>225</v>
      </c>
      <c r="D91" s="13">
        <v>20000</v>
      </c>
      <c r="E91" s="17">
        <v>8421</v>
      </c>
      <c r="F91" s="17">
        <f t="shared" si="13"/>
        <v>18500</v>
      </c>
      <c r="G91" s="13"/>
      <c r="H91" s="13"/>
      <c r="I91" s="13">
        <f>6500</f>
        <v>6500</v>
      </c>
      <c r="J91" s="17"/>
      <c r="K91" s="13">
        <f>12000</f>
        <v>12000</v>
      </c>
      <c r="L91" s="17">
        <f t="shared" si="15"/>
        <v>26921</v>
      </c>
    </row>
    <row r="92" spans="1:12">
      <c r="A92" s="8"/>
      <c r="B92" s="8" t="s">
        <v>153</v>
      </c>
      <c r="C92" s="8">
        <v>225</v>
      </c>
      <c r="D92" s="13">
        <v>30000</v>
      </c>
      <c r="E92" s="17">
        <v>0</v>
      </c>
      <c r="F92" s="17">
        <f>I92+J92+K92</f>
        <v>17610</v>
      </c>
      <c r="G92" s="13"/>
      <c r="H92" s="13"/>
      <c r="I92" s="13"/>
      <c r="J92" s="17"/>
      <c r="K92" s="13">
        <f>13500+2250+1860</f>
        <v>17610</v>
      </c>
      <c r="L92" s="17">
        <f t="shared" si="15"/>
        <v>17610</v>
      </c>
    </row>
    <row r="93" spans="1:12">
      <c r="A93" s="8"/>
      <c r="B93" s="8" t="s">
        <v>104</v>
      </c>
      <c r="C93" s="8">
        <v>225</v>
      </c>
      <c r="D93" s="13">
        <v>30000</v>
      </c>
      <c r="E93" s="17">
        <v>0</v>
      </c>
      <c r="F93" s="17">
        <f t="shared" si="13"/>
        <v>0</v>
      </c>
      <c r="G93" s="13"/>
      <c r="H93" s="13"/>
      <c r="I93" s="13"/>
      <c r="J93" s="17"/>
      <c r="K93" s="13"/>
      <c r="L93" s="17">
        <f t="shared" si="15"/>
        <v>0</v>
      </c>
    </row>
    <row r="94" spans="1:12">
      <c r="A94" s="11" t="s">
        <v>45</v>
      </c>
      <c r="B94" s="11" t="s">
        <v>46</v>
      </c>
      <c r="C94" s="11">
        <v>226</v>
      </c>
      <c r="D94" s="16">
        <f>D95+D96+D97+D98+D99+D100+D101+D102+D103+D104+D105+D106+D107</f>
        <v>439000</v>
      </c>
      <c r="E94" s="12">
        <v>121486.3</v>
      </c>
      <c r="F94" s="12">
        <f t="shared" si="13"/>
        <v>167223.39000000001</v>
      </c>
      <c r="G94" s="16"/>
      <c r="H94" s="16"/>
      <c r="I94" s="30">
        <f>I95+I96+I97+I98+I99+I100+I101+I102+I103+I104+I105+I106+I107</f>
        <v>37571.599999999999</v>
      </c>
      <c r="J94" s="30">
        <f>J95+J96+J97+J98+J99+J100+J101+J102+J103+J104+J105+J106+J107</f>
        <v>58845.54</v>
      </c>
      <c r="K94" s="30">
        <f>K95+K96+K97+K98+K99+K100+K101+K102+K103+K104+K105+K106+K107</f>
        <v>70806.25</v>
      </c>
      <c r="L94" s="16">
        <f t="shared" si="15"/>
        <v>288709.69</v>
      </c>
    </row>
    <row r="95" spans="1:12" ht="27" customHeight="1">
      <c r="A95" s="8"/>
      <c r="B95" s="28" t="s">
        <v>81</v>
      </c>
      <c r="C95" s="8">
        <v>226</v>
      </c>
      <c r="D95" s="13">
        <v>40000</v>
      </c>
      <c r="E95" s="17">
        <v>9971.32</v>
      </c>
      <c r="F95" s="17">
        <f t="shared" si="13"/>
        <v>104980.39</v>
      </c>
      <c r="G95" s="13"/>
      <c r="H95" s="13"/>
      <c r="I95" s="13">
        <f>9406.82+1960+35.73+911.21+518.14+3930.7+11500+9309</f>
        <v>37571.599999999999</v>
      </c>
      <c r="J95" s="17">
        <f>3769+3252+807.05+1419.32+55.67+6122.6+6003+351.9+897+1518+6500</f>
        <v>30695.54</v>
      </c>
      <c r="K95" s="13">
        <f>19063.63+3402+6372.43+840.01+57.93+1477.25+5500</f>
        <v>36713.25</v>
      </c>
      <c r="L95" s="17">
        <f t="shared" si="15"/>
        <v>114951.70999999999</v>
      </c>
    </row>
    <row r="96" spans="1:12">
      <c r="A96" s="8"/>
      <c r="B96" s="8" t="s">
        <v>126</v>
      </c>
      <c r="C96" s="8">
        <v>226</v>
      </c>
      <c r="D96" s="13">
        <v>45000</v>
      </c>
      <c r="E96" s="17">
        <v>3412.38</v>
      </c>
      <c r="F96" s="17">
        <f t="shared" si="13"/>
        <v>0</v>
      </c>
      <c r="G96" s="13"/>
      <c r="H96" s="13"/>
      <c r="I96" s="13"/>
      <c r="J96" s="17"/>
      <c r="K96" s="13"/>
      <c r="L96" s="17">
        <f t="shared" si="15"/>
        <v>3412.38</v>
      </c>
    </row>
    <row r="97" spans="1:12">
      <c r="A97" s="8"/>
      <c r="B97" s="8" t="s">
        <v>48</v>
      </c>
      <c r="C97" s="8">
        <v>226</v>
      </c>
      <c r="D97" s="13">
        <v>10000</v>
      </c>
      <c r="E97" s="17">
        <v>0</v>
      </c>
      <c r="F97" s="17">
        <f t="shared" si="13"/>
        <v>6600</v>
      </c>
      <c r="G97" s="13"/>
      <c r="H97" s="13"/>
      <c r="I97" s="13"/>
      <c r="J97" s="17"/>
      <c r="K97" s="13">
        <f>6600</f>
        <v>6600</v>
      </c>
      <c r="L97" s="17">
        <f t="shared" si="15"/>
        <v>6600</v>
      </c>
    </row>
    <row r="98" spans="1:12">
      <c r="A98" s="8"/>
      <c r="B98" s="8" t="s">
        <v>82</v>
      </c>
      <c r="C98" s="8">
        <v>226</v>
      </c>
      <c r="D98" s="13">
        <v>77000</v>
      </c>
      <c r="E98" s="17">
        <v>2200</v>
      </c>
      <c r="F98" s="17">
        <f t="shared" si="13"/>
        <v>0</v>
      </c>
      <c r="G98" s="13"/>
      <c r="H98" s="13"/>
      <c r="I98" s="13"/>
      <c r="J98" s="17"/>
      <c r="K98" s="13"/>
      <c r="L98" s="17">
        <f t="shared" si="15"/>
        <v>2200</v>
      </c>
    </row>
    <row r="99" spans="1:12">
      <c r="A99" s="8"/>
      <c r="B99" s="8" t="s">
        <v>83</v>
      </c>
      <c r="C99" s="8">
        <v>226</v>
      </c>
      <c r="D99" s="13">
        <v>20000</v>
      </c>
      <c r="E99" s="17">
        <v>0</v>
      </c>
      <c r="F99" s="17">
        <f t="shared" si="13"/>
        <v>0</v>
      </c>
      <c r="G99" s="13"/>
      <c r="H99" s="13"/>
      <c r="I99" s="13"/>
      <c r="J99" s="17"/>
      <c r="K99" s="13"/>
      <c r="L99" s="17">
        <f t="shared" si="15"/>
        <v>0</v>
      </c>
    </row>
    <row r="100" spans="1:12">
      <c r="A100" s="8"/>
      <c r="B100" s="8" t="s">
        <v>145</v>
      </c>
      <c r="C100" s="8">
        <v>226</v>
      </c>
      <c r="D100" s="13">
        <v>40000</v>
      </c>
      <c r="E100" s="17">
        <v>89913.600000000006</v>
      </c>
      <c r="F100" s="17">
        <f t="shared" si="13"/>
        <v>38250</v>
      </c>
      <c r="G100" s="13"/>
      <c r="H100" s="13"/>
      <c r="I100" s="13"/>
      <c r="J100" s="17">
        <f>10000+11800</f>
        <v>21800</v>
      </c>
      <c r="K100" s="13">
        <f>1450+15000</f>
        <v>16450</v>
      </c>
      <c r="L100" s="17">
        <f t="shared" si="15"/>
        <v>128163.6</v>
      </c>
    </row>
    <row r="101" spans="1:12">
      <c r="A101" s="8"/>
      <c r="B101" s="8" t="s">
        <v>106</v>
      </c>
      <c r="C101" s="8">
        <v>226</v>
      </c>
      <c r="D101" s="13">
        <v>40000</v>
      </c>
      <c r="E101" s="17">
        <v>0</v>
      </c>
      <c r="F101" s="17">
        <f t="shared" si="13"/>
        <v>0</v>
      </c>
      <c r="G101" s="13"/>
      <c r="H101" s="13"/>
      <c r="I101" s="13"/>
      <c r="J101" s="17"/>
      <c r="K101" s="13"/>
      <c r="L101" s="17">
        <f t="shared" si="15"/>
        <v>0</v>
      </c>
    </row>
    <row r="102" spans="1:12">
      <c r="A102" s="8"/>
      <c r="B102" s="8" t="s">
        <v>85</v>
      </c>
      <c r="C102" s="8">
        <v>226</v>
      </c>
      <c r="D102" s="13">
        <v>10000</v>
      </c>
      <c r="E102" s="17">
        <v>0</v>
      </c>
      <c r="F102" s="17">
        <f t="shared" si="13"/>
        <v>0</v>
      </c>
      <c r="G102" s="13"/>
      <c r="H102" s="13"/>
      <c r="I102" s="13"/>
      <c r="J102" s="17"/>
      <c r="K102" s="13"/>
      <c r="L102" s="17">
        <f t="shared" si="15"/>
        <v>0</v>
      </c>
    </row>
    <row r="103" spans="1:12">
      <c r="A103" s="8"/>
      <c r="B103" s="8" t="s">
        <v>108</v>
      </c>
      <c r="C103" s="8">
        <v>226</v>
      </c>
      <c r="D103" s="13">
        <v>50000</v>
      </c>
      <c r="E103" s="17">
        <v>0</v>
      </c>
      <c r="F103" s="17">
        <f t="shared" si="13"/>
        <v>0</v>
      </c>
      <c r="G103" s="13"/>
      <c r="H103" s="13"/>
      <c r="I103" s="13"/>
      <c r="J103" s="17"/>
      <c r="K103" s="13"/>
      <c r="L103" s="17">
        <f t="shared" si="15"/>
        <v>0</v>
      </c>
    </row>
    <row r="104" spans="1:12">
      <c r="A104" s="8"/>
      <c r="B104" s="8" t="s">
        <v>107</v>
      </c>
      <c r="C104" s="8">
        <v>226</v>
      </c>
      <c r="D104" s="13">
        <v>3500</v>
      </c>
      <c r="E104" s="17">
        <v>0</v>
      </c>
      <c r="F104" s="17">
        <f t="shared" si="13"/>
        <v>10800</v>
      </c>
      <c r="G104" s="13"/>
      <c r="H104" s="13"/>
      <c r="I104" s="13"/>
      <c r="J104" s="17"/>
      <c r="K104" s="13">
        <f>10800</f>
        <v>10800</v>
      </c>
      <c r="L104" s="17">
        <f t="shared" si="15"/>
        <v>10800</v>
      </c>
    </row>
    <row r="105" spans="1:12">
      <c r="A105" s="8"/>
      <c r="B105" s="8" t="s">
        <v>125</v>
      </c>
      <c r="C105" s="8">
        <v>226</v>
      </c>
      <c r="D105" s="13">
        <v>50000</v>
      </c>
      <c r="E105" s="17">
        <v>729</v>
      </c>
      <c r="F105" s="17">
        <f t="shared" si="13"/>
        <v>1863</v>
      </c>
      <c r="G105" s="13"/>
      <c r="H105" s="13"/>
      <c r="I105" s="13"/>
      <c r="J105" s="17">
        <f>1620</f>
        <v>1620</v>
      </c>
      <c r="K105" s="13">
        <f>243</f>
        <v>243</v>
      </c>
      <c r="L105" s="17">
        <f t="shared" si="15"/>
        <v>2592</v>
      </c>
    </row>
    <row r="106" spans="1:12">
      <c r="A106" s="8"/>
      <c r="B106" s="8" t="s">
        <v>78</v>
      </c>
      <c r="C106" s="8">
        <v>226</v>
      </c>
      <c r="D106" s="13">
        <v>3500</v>
      </c>
      <c r="E106" s="17">
        <v>0</v>
      </c>
      <c r="F106" s="17">
        <f t="shared" si="13"/>
        <v>0</v>
      </c>
      <c r="G106" s="13"/>
      <c r="H106" s="13"/>
      <c r="I106" s="13"/>
      <c r="J106" s="17"/>
      <c r="K106" s="13"/>
      <c r="L106" s="17">
        <f t="shared" si="15"/>
        <v>0</v>
      </c>
    </row>
    <row r="107" spans="1:12" ht="23.25">
      <c r="A107" s="8"/>
      <c r="B107" s="28" t="s">
        <v>120</v>
      </c>
      <c r="C107" s="8">
        <v>226</v>
      </c>
      <c r="D107" s="13">
        <v>50000</v>
      </c>
      <c r="E107" s="17">
        <v>15260</v>
      </c>
      <c r="F107" s="17">
        <f t="shared" si="13"/>
        <v>4730</v>
      </c>
      <c r="G107" s="13"/>
      <c r="H107" s="13"/>
      <c r="I107" s="13"/>
      <c r="J107" s="17">
        <f>4730</f>
        <v>4730</v>
      </c>
      <c r="K107" s="13"/>
      <c r="L107" s="17">
        <f t="shared" si="15"/>
        <v>19990</v>
      </c>
    </row>
    <row r="108" spans="1:12">
      <c r="A108" s="6" t="s">
        <v>50</v>
      </c>
      <c r="B108" s="6" t="s">
        <v>51</v>
      </c>
      <c r="C108" s="6">
        <v>290</v>
      </c>
      <c r="D108" s="16">
        <f>D109+D110+D111</f>
        <v>102574.42</v>
      </c>
      <c r="E108" s="12">
        <v>64588</v>
      </c>
      <c r="F108" s="12">
        <f t="shared" si="13"/>
        <v>31777.16</v>
      </c>
      <c r="G108" s="16"/>
      <c r="H108" s="16"/>
      <c r="I108" s="30">
        <f>I109+I110+I111</f>
        <v>850</v>
      </c>
      <c r="J108" s="30">
        <f t="shared" ref="J108:K108" si="16">J109+J110+J111</f>
        <v>30800</v>
      </c>
      <c r="K108" s="30">
        <f t="shared" si="16"/>
        <v>127.16</v>
      </c>
      <c r="L108" s="16">
        <f t="shared" si="15"/>
        <v>96365.16</v>
      </c>
    </row>
    <row r="109" spans="1:12">
      <c r="A109" s="6"/>
      <c r="B109" s="15" t="s">
        <v>110</v>
      </c>
      <c r="C109" s="15">
        <v>290</v>
      </c>
      <c r="D109" s="17">
        <v>7500</v>
      </c>
      <c r="E109" s="17">
        <v>0</v>
      </c>
      <c r="F109" s="17">
        <f t="shared" si="13"/>
        <v>0</v>
      </c>
      <c r="G109" s="16"/>
      <c r="H109" s="16"/>
      <c r="I109" s="33"/>
      <c r="J109" s="33"/>
      <c r="K109" s="33"/>
      <c r="L109" s="17">
        <f t="shared" si="15"/>
        <v>0</v>
      </c>
    </row>
    <row r="110" spans="1:12" ht="23.25">
      <c r="A110" s="6"/>
      <c r="B110" s="40" t="s">
        <v>132</v>
      </c>
      <c r="C110" s="15">
        <v>290</v>
      </c>
      <c r="D110" s="17">
        <f>65074.42-72574.42+72574.42</f>
        <v>65074.42</v>
      </c>
      <c r="E110" s="17">
        <v>64588</v>
      </c>
      <c r="F110" s="17">
        <f t="shared" si="13"/>
        <v>1777.16</v>
      </c>
      <c r="G110" s="17"/>
      <c r="H110" s="17"/>
      <c r="I110" s="42">
        <f>850</f>
        <v>850</v>
      </c>
      <c r="J110" s="42">
        <f>800</f>
        <v>800</v>
      </c>
      <c r="K110" s="42">
        <f>127.16</f>
        <v>127.16</v>
      </c>
      <c r="L110" s="17">
        <f t="shared" si="15"/>
        <v>66365.16</v>
      </c>
    </row>
    <row r="111" spans="1:12">
      <c r="A111" s="15"/>
      <c r="B111" s="15" t="s">
        <v>86</v>
      </c>
      <c r="C111" s="15">
        <v>290</v>
      </c>
      <c r="D111" s="17">
        <v>30000</v>
      </c>
      <c r="E111" s="17">
        <v>0</v>
      </c>
      <c r="F111" s="17">
        <f t="shared" si="13"/>
        <v>30000</v>
      </c>
      <c r="G111" s="17"/>
      <c r="H111" s="17"/>
      <c r="I111" s="17"/>
      <c r="J111" s="17">
        <v>30000</v>
      </c>
      <c r="K111" s="17"/>
      <c r="L111" s="17">
        <f t="shared" si="15"/>
        <v>30000</v>
      </c>
    </row>
    <row r="112" spans="1:12">
      <c r="A112" s="6" t="s">
        <v>53</v>
      </c>
      <c r="B112" s="6" t="s">
        <v>54</v>
      </c>
      <c r="C112" s="6">
        <v>300</v>
      </c>
      <c r="D112" s="12">
        <f>D113+D117</f>
        <v>2614725.58</v>
      </c>
      <c r="E112" s="12">
        <v>602075.68999999994</v>
      </c>
      <c r="F112" s="12">
        <f t="shared" si="13"/>
        <v>1109647.6499999999</v>
      </c>
      <c r="G112" s="12"/>
      <c r="H112" s="12"/>
      <c r="I112" s="12">
        <f>I113+I117</f>
        <v>91167.56</v>
      </c>
      <c r="J112" s="12">
        <f>J113+J117</f>
        <v>480731.2</v>
      </c>
      <c r="K112" s="12">
        <f>K113+K117</f>
        <v>537748.8899999999</v>
      </c>
      <c r="L112" s="16">
        <f t="shared" si="15"/>
        <v>1711723.3399999999</v>
      </c>
    </row>
    <row r="113" spans="1:12">
      <c r="A113" s="11" t="s">
        <v>55</v>
      </c>
      <c r="B113" s="11" t="s">
        <v>87</v>
      </c>
      <c r="C113" s="11">
        <v>310</v>
      </c>
      <c r="D113" s="16">
        <f>D114+D115+D116</f>
        <v>245000</v>
      </c>
      <c r="E113" s="16">
        <v>0</v>
      </c>
      <c r="F113" s="16">
        <f>I113+J113+K113</f>
        <v>54494</v>
      </c>
      <c r="G113" s="16"/>
      <c r="H113" s="16"/>
      <c r="I113" s="30"/>
      <c r="J113" s="30">
        <f>J114+J115</f>
        <v>32469</v>
      </c>
      <c r="K113" s="30">
        <f>K114+K115+K116</f>
        <v>22025</v>
      </c>
      <c r="L113" s="16">
        <f t="shared" si="15"/>
        <v>54494</v>
      </c>
    </row>
    <row r="114" spans="1:12">
      <c r="A114" s="11"/>
      <c r="B114" s="15" t="s">
        <v>136</v>
      </c>
      <c r="C114" s="11">
        <v>310</v>
      </c>
      <c r="D114" s="17">
        <v>90000</v>
      </c>
      <c r="E114" s="17">
        <v>0</v>
      </c>
      <c r="F114" s="17">
        <f t="shared" si="13"/>
        <v>8800</v>
      </c>
      <c r="G114" s="16"/>
      <c r="H114" s="16"/>
      <c r="I114" s="33"/>
      <c r="J114" s="42">
        <f>8800</f>
        <v>8800</v>
      </c>
      <c r="K114" s="33"/>
      <c r="L114" s="17">
        <f t="shared" si="15"/>
        <v>8800</v>
      </c>
    </row>
    <row r="115" spans="1:12">
      <c r="A115" s="11"/>
      <c r="B115" s="15" t="s">
        <v>144</v>
      </c>
      <c r="C115" s="11">
        <v>310</v>
      </c>
      <c r="D115" s="17">
        <v>95000</v>
      </c>
      <c r="E115" s="17">
        <v>0</v>
      </c>
      <c r="F115" s="17">
        <f>I115+J115+K115</f>
        <v>23669</v>
      </c>
      <c r="G115" s="16"/>
      <c r="H115" s="16"/>
      <c r="I115" s="33"/>
      <c r="J115" s="42">
        <f>23669</f>
        <v>23669</v>
      </c>
      <c r="K115" s="33"/>
      <c r="L115" s="17">
        <f t="shared" si="15"/>
        <v>23669</v>
      </c>
    </row>
    <row r="116" spans="1:12">
      <c r="A116" s="11"/>
      <c r="B116" s="15" t="s">
        <v>154</v>
      </c>
      <c r="C116" s="11">
        <v>310</v>
      </c>
      <c r="D116" s="17">
        <v>60000</v>
      </c>
      <c r="E116" s="17">
        <v>0</v>
      </c>
      <c r="F116" s="17">
        <f>I116+J116+K116</f>
        <v>22025</v>
      </c>
      <c r="G116" s="16"/>
      <c r="H116" s="16"/>
      <c r="I116" s="33"/>
      <c r="J116" s="33"/>
      <c r="K116" s="42">
        <v>22025</v>
      </c>
      <c r="L116" s="17">
        <f t="shared" si="15"/>
        <v>22025</v>
      </c>
    </row>
    <row r="117" spans="1:12">
      <c r="A117" s="11" t="s">
        <v>57</v>
      </c>
      <c r="B117" s="11" t="s">
        <v>88</v>
      </c>
      <c r="C117" s="11">
        <v>340</v>
      </c>
      <c r="D117" s="16">
        <f>D118+D119+D120+D121+D122+D123</f>
        <v>2369725.58</v>
      </c>
      <c r="E117" s="12">
        <v>602075.68999999994</v>
      </c>
      <c r="F117" s="12">
        <f t="shared" si="13"/>
        <v>1055153.6499999999</v>
      </c>
      <c r="G117" s="16"/>
      <c r="H117" s="16"/>
      <c r="I117" s="30">
        <f>I118+I119+I120+I121+I122+I123</f>
        <v>91167.56</v>
      </c>
      <c r="J117" s="30">
        <f>J118+J119+J120+J121+J122+J123</f>
        <v>448262.2</v>
      </c>
      <c r="K117" s="30">
        <f t="shared" ref="K117" si="17">K118+K119+K120+K121+K122+K123</f>
        <v>515723.88999999996</v>
      </c>
      <c r="L117" s="16">
        <f t="shared" si="15"/>
        <v>1657229.3399999999</v>
      </c>
    </row>
    <row r="118" spans="1:12">
      <c r="A118" s="8"/>
      <c r="B118" s="8" t="s">
        <v>89</v>
      </c>
      <c r="C118" s="8">
        <v>340</v>
      </c>
      <c r="D118" s="13">
        <v>1804725.58</v>
      </c>
      <c r="E118" s="17">
        <v>496609.13</v>
      </c>
      <c r="F118" s="17">
        <f t="shared" si="13"/>
        <v>613834.66999999993</v>
      </c>
      <c r="G118" s="13"/>
      <c r="H118" s="13"/>
      <c r="I118" s="13">
        <f>1725+3935+24414.57+14897.6+3693.31+12840.13</f>
        <v>61505.609999999993</v>
      </c>
      <c r="J118" s="17">
        <f>22514.12+5280+3951+9195+38600.01+39724.68+26500+2530+8431.62+9900+18058.5+8900.57+2142</f>
        <v>195727.5</v>
      </c>
      <c r="K118" s="13">
        <f>2310+23665.12+36652.4+54905.49+37500+4754.06+3861.97+1591.2+24168.67+24077.01+396.4+28579.48+988.8+12740.89+11700+27807.05+23118+17379.07+2848.1+16657.85+900</f>
        <v>356601.56</v>
      </c>
      <c r="L118" s="17">
        <f t="shared" si="15"/>
        <v>1110443.7999999998</v>
      </c>
    </row>
    <row r="119" spans="1:12">
      <c r="A119" s="8"/>
      <c r="B119" s="8" t="s">
        <v>116</v>
      </c>
      <c r="C119" s="8">
        <v>340</v>
      </c>
      <c r="D119" s="13">
        <v>210000</v>
      </c>
      <c r="E119" s="17">
        <v>27720.86</v>
      </c>
      <c r="F119" s="17">
        <f t="shared" si="13"/>
        <v>192121.45</v>
      </c>
      <c r="G119" s="13"/>
      <c r="H119" s="13"/>
      <c r="I119" s="13">
        <f>3711.95</f>
        <v>3711.95</v>
      </c>
      <c r="J119" s="17">
        <f>9885+10097+14135+5234.6+1632+4963+18526.5+41909.6</f>
        <v>106382.7</v>
      </c>
      <c r="K119" s="13">
        <f>17949+17250+22113.8+2970+20184+1560</f>
        <v>82026.8</v>
      </c>
      <c r="L119" s="17">
        <f t="shared" si="15"/>
        <v>219842.31</v>
      </c>
    </row>
    <row r="120" spans="1:12">
      <c r="A120" s="8"/>
      <c r="B120" s="8" t="s">
        <v>90</v>
      </c>
      <c r="C120" s="8">
        <v>340</v>
      </c>
      <c r="D120" s="13">
        <v>120000</v>
      </c>
      <c r="E120" s="17">
        <v>46889</v>
      </c>
      <c r="F120" s="17">
        <f t="shared" si="13"/>
        <v>169197.95</v>
      </c>
      <c r="G120" s="13"/>
      <c r="H120" s="13"/>
      <c r="I120" s="13">
        <f>25950</f>
        <v>25950</v>
      </c>
      <c r="J120" s="17">
        <f>42513+35102.5+31599</f>
        <v>109214.5</v>
      </c>
      <c r="K120" s="13">
        <f>5040+24685.2+4308.25</f>
        <v>34033.449999999997</v>
      </c>
      <c r="L120" s="17">
        <f t="shared" si="15"/>
        <v>216086.95</v>
      </c>
    </row>
    <row r="121" spans="1:12">
      <c r="A121" s="8"/>
      <c r="B121" s="8" t="s">
        <v>91</v>
      </c>
      <c r="C121" s="8">
        <v>340</v>
      </c>
      <c r="D121" s="13">
        <v>50000</v>
      </c>
      <c r="E121" s="17">
        <v>5205</v>
      </c>
      <c r="F121" s="17">
        <f t="shared" si="13"/>
        <v>0</v>
      </c>
      <c r="G121" s="13"/>
      <c r="H121" s="13"/>
      <c r="I121" s="13"/>
      <c r="J121" s="17"/>
      <c r="K121" s="13"/>
      <c r="L121" s="17">
        <f t="shared" si="15"/>
        <v>5205</v>
      </c>
    </row>
    <row r="122" spans="1:12">
      <c r="A122" s="8"/>
      <c r="B122" s="8" t="s">
        <v>92</v>
      </c>
      <c r="C122" s="8">
        <v>340</v>
      </c>
      <c r="D122" s="13">
        <v>150000</v>
      </c>
      <c r="E122" s="17">
        <v>24127.5</v>
      </c>
      <c r="F122" s="17">
        <f t="shared" si="13"/>
        <v>54077.78</v>
      </c>
      <c r="G122" s="13"/>
      <c r="H122" s="13"/>
      <c r="I122" s="13"/>
      <c r="J122" s="17">
        <f>35802</f>
        <v>35802</v>
      </c>
      <c r="K122" s="13">
        <f>18275.78</f>
        <v>18275.78</v>
      </c>
      <c r="L122" s="17">
        <f t="shared" si="15"/>
        <v>78205.279999999999</v>
      </c>
    </row>
    <row r="123" spans="1:12">
      <c r="A123" s="8"/>
      <c r="B123" s="8" t="s">
        <v>93</v>
      </c>
      <c r="C123" s="8">
        <v>340</v>
      </c>
      <c r="D123" s="13">
        <v>35000</v>
      </c>
      <c r="E123" s="17">
        <v>1524.2</v>
      </c>
      <c r="F123" s="17">
        <f t="shared" si="13"/>
        <v>25921.8</v>
      </c>
      <c r="G123" s="13"/>
      <c r="H123" s="13"/>
      <c r="I123" s="13"/>
      <c r="J123" s="17">
        <f>1135.5</f>
        <v>1135.5</v>
      </c>
      <c r="K123" s="13">
        <f>11000+13786.3</f>
        <v>24786.3</v>
      </c>
      <c r="L123" s="17">
        <f t="shared" si="15"/>
        <v>27446</v>
      </c>
    </row>
    <row r="124" spans="1:12">
      <c r="A124" s="8"/>
      <c r="B124" s="11" t="s">
        <v>94</v>
      </c>
      <c r="C124" s="11"/>
      <c r="D124" s="16"/>
      <c r="E124" s="16">
        <f>D67+E68-E74</f>
        <v>12512.540000000037</v>
      </c>
      <c r="F124" s="16">
        <f>E124+F68-F74</f>
        <v>37460.720000000205</v>
      </c>
      <c r="G124" s="16"/>
      <c r="H124" s="16"/>
      <c r="I124" s="16">
        <f>E124+I68-I74</f>
        <v>775.95000000006985</v>
      </c>
      <c r="J124" s="16">
        <f>I124+J68-J74</f>
        <v>438593.21000000008</v>
      </c>
      <c r="K124" s="16">
        <f>J124+K68-K74</f>
        <v>37460.720000000205</v>
      </c>
      <c r="L124" s="16">
        <f>E124+F124+G124+H124</f>
        <v>49973.260000000242</v>
      </c>
    </row>
    <row r="125" spans="1:12">
      <c r="A125" s="14"/>
      <c r="B125" s="14" t="s">
        <v>60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</row>
    <row r="127" spans="1:12">
      <c r="A127" s="14"/>
      <c r="B127" s="14" t="s">
        <v>61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8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4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3" spans="1:12">
      <c r="A133" s="1"/>
      <c r="B133" s="1" t="s">
        <v>95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66" t="s">
        <v>146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</row>
    <row r="135" spans="1:12">
      <c r="A135" s="65" t="s">
        <v>0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</row>
    <row r="136" spans="1:12">
      <c r="A136" s="63" t="s">
        <v>96</v>
      </c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</row>
    <row r="137" spans="1:12">
      <c r="A137" s="53" t="s">
        <v>2</v>
      </c>
      <c r="B137" s="55" t="s">
        <v>3</v>
      </c>
      <c r="C137" s="57" t="s">
        <v>4</v>
      </c>
      <c r="D137" s="59" t="s">
        <v>5</v>
      </c>
      <c r="E137" s="61" t="s">
        <v>6</v>
      </c>
      <c r="F137" s="48" t="s">
        <v>7</v>
      </c>
      <c r="G137" s="48" t="s">
        <v>8</v>
      </c>
      <c r="H137" s="48" t="s">
        <v>9</v>
      </c>
      <c r="I137" s="50" t="s">
        <v>10</v>
      </c>
      <c r="J137" s="51"/>
      <c r="K137" s="51"/>
      <c r="L137" s="52"/>
    </row>
    <row r="138" spans="1:12">
      <c r="A138" s="54"/>
      <c r="B138" s="56"/>
      <c r="C138" s="58"/>
      <c r="D138" s="60"/>
      <c r="E138" s="62"/>
      <c r="F138" s="49"/>
      <c r="G138" s="49"/>
      <c r="H138" s="49"/>
      <c r="I138" s="37" t="s">
        <v>128</v>
      </c>
      <c r="J138" s="37" t="s">
        <v>131</v>
      </c>
      <c r="K138" s="37" t="s">
        <v>130</v>
      </c>
      <c r="L138" s="4" t="s">
        <v>11</v>
      </c>
    </row>
    <row r="139" spans="1:12">
      <c r="A139" s="2"/>
      <c r="B139" s="39"/>
      <c r="C139" s="2"/>
      <c r="D139" s="38" t="s">
        <v>12</v>
      </c>
      <c r="E139" s="2"/>
      <c r="F139" s="2"/>
      <c r="G139" s="2"/>
      <c r="H139" s="2"/>
      <c r="I139" s="4" t="s">
        <v>13</v>
      </c>
      <c r="J139" s="4" t="s">
        <v>14</v>
      </c>
      <c r="K139" s="4" t="s">
        <v>14</v>
      </c>
      <c r="L139" s="4" t="s">
        <v>15</v>
      </c>
    </row>
    <row r="140" spans="1:12">
      <c r="A140" s="5">
        <v>1</v>
      </c>
      <c r="B140" s="5">
        <v>2</v>
      </c>
      <c r="C140" s="5">
        <v>3</v>
      </c>
      <c r="D140" s="5">
        <v>4</v>
      </c>
      <c r="E140" s="5">
        <v>5</v>
      </c>
      <c r="F140" s="5">
        <v>6</v>
      </c>
      <c r="G140" s="5">
        <v>7</v>
      </c>
      <c r="H140" s="5">
        <v>8</v>
      </c>
      <c r="I140" s="5">
        <v>9</v>
      </c>
      <c r="J140" s="5">
        <v>10</v>
      </c>
      <c r="K140" s="5">
        <v>11</v>
      </c>
      <c r="L140" s="5">
        <v>12</v>
      </c>
    </row>
    <row r="141" spans="1:12">
      <c r="A141" s="6">
        <v>1</v>
      </c>
      <c r="B141" s="27" t="s">
        <v>16</v>
      </c>
      <c r="C141" s="6"/>
      <c r="D141" s="12"/>
      <c r="E141" s="6"/>
      <c r="F141" s="6"/>
      <c r="G141" s="6"/>
      <c r="H141" s="6"/>
      <c r="I141" s="6"/>
      <c r="J141" s="6"/>
      <c r="K141" s="6"/>
      <c r="L141" s="6"/>
    </row>
    <row r="142" spans="1:12">
      <c r="A142" s="6">
        <v>2</v>
      </c>
      <c r="B142" s="6" t="s">
        <v>17</v>
      </c>
      <c r="C142" s="6">
        <v>180</v>
      </c>
      <c r="D142" s="12">
        <f>D143</f>
        <v>197604.75</v>
      </c>
      <c r="E142" s="12"/>
      <c r="F142" s="12">
        <f>197604.75</f>
        <v>197604.75</v>
      </c>
      <c r="G142" s="12"/>
      <c r="H142" s="12"/>
      <c r="I142" s="12"/>
      <c r="J142" s="12">
        <f>197604.75</f>
        <v>197604.75</v>
      </c>
      <c r="K142" s="12"/>
      <c r="L142" s="12">
        <f>E142+F142+G142+H142</f>
        <v>197604.75</v>
      </c>
    </row>
    <row r="143" spans="1:12">
      <c r="A143" s="6">
        <v>3</v>
      </c>
      <c r="B143" s="6" t="s">
        <v>18</v>
      </c>
      <c r="C143" s="6">
        <v>200</v>
      </c>
      <c r="D143" s="12">
        <f>D145</f>
        <v>197604.75</v>
      </c>
      <c r="E143" s="12"/>
      <c r="F143" s="12">
        <f t="shared" ref="F143:F145" si="18">I143+J143+K143</f>
        <v>79613.950000000012</v>
      </c>
      <c r="G143" s="12"/>
      <c r="H143" s="12"/>
      <c r="I143" s="12"/>
      <c r="J143" s="12">
        <f>J144</f>
        <v>5634.7999999999993</v>
      </c>
      <c r="K143" s="12">
        <f>K144</f>
        <v>73979.150000000009</v>
      </c>
      <c r="L143" s="12">
        <f>E143+F143+G143+H143</f>
        <v>79613.950000000012</v>
      </c>
    </row>
    <row r="144" spans="1:12">
      <c r="A144" s="11" t="s">
        <v>45</v>
      </c>
      <c r="B144" s="11" t="s">
        <v>46</v>
      </c>
      <c r="C144" s="11">
        <v>226</v>
      </c>
      <c r="D144" s="16">
        <f>D145</f>
        <v>197604.75</v>
      </c>
      <c r="E144" s="12"/>
      <c r="F144" s="12">
        <f t="shared" si="18"/>
        <v>79613.950000000012</v>
      </c>
      <c r="G144" s="16"/>
      <c r="H144" s="16"/>
      <c r="I144" s="30"/>
      <c r="J144" s="30">
        <f>J145</f>
        <v>5634.7999999999993</v>
      </c>
      <c r="K144" s="30">
        <f>K145</f>
        <v>73979.150000000009</v>
      </c>
      <c r="L144" s="12">
        <f>E144+F144+G144+H144</f>
        <v>79613.950000000012</v>
      </c>
    </row>
    <row r="145" spans="1:12">
      <c r="A145" s="8"/>
      <c r="B145" s="8" t="s">
        <v>97</v>
      </c>
      <c r="C145" s="8">
        <v>226</v>
      </c>
      <c r="D145" s="16">
        <f>197604.75</f>
        <v>197604.75</v>
      </c>
      <c r="E145" s="12"/>
      <c r="F145" s="12">
        <f t="shared" si="18"/>
        <v>79613.950000000012</v>
      </c>
      <c r="G145" s="13"/>
      <c r="H145" s="13"/>
      <c r="I145" s="13"/>
      <c r="J145" s="17">
        <f>4507.44+1127.36</f>
        <v>5634.7999999999993</v>
      </c>
      <c r="K145" s="17">
        <f>3386.46+20.74+2281.24+1348+528.84+300.7+12201+1634+2763.5+640.63+364.3+25.12+3874.8+4912.86+704.6+3099.24-704.6+2271.36+2331.97+2758.3+1409.2+3276+5189.4+1203.01+47.18+684.05+6000+1408.2+686.72+47.36+1207.62+5209.35+2868</f>
        <v>73979.150000000009</v>
      </c>
      <c r="L145" s="12">
        <f>E145+F145+G145+H145</f>
        <v>79613.950000000012</v>
      </c>
    </row>
    <row r="146" spans="1:12">
      <c r="A146" s="8"/>
      <c r="B146" s="8"/>
      <c r="C146" s="8"/>
      <c r="D146" s="13"/>
      <c r="E146" s="17"/>
      <c r="F146" s="13"/>
      <c r="G146" s="13"/>
      <c r="H146" s="13"/>
      <c r="I146" s="13"/>
      <c r="J146" s="13"/>
      <c r="K146" s="17"/>
      <c r="L146" s="17"/>
    </row>
    <row r="147" spans="1:12">
      <c r="A147" s="11"/>
      <c r="B147" s="11" t="s">
        <v>59</v>
      </c>
      <c r="C147" s="11"/>
      <c r="D147" s="16"/>
      <c r="E147" s="16">
        <f>D141+E142-E143</f>
        <v>0</v>
      </c>
      <c r="F147" s="16">
        <f>E147+F142-F143</f>
        <v>117990.79999999999</v>
      </c>
      <c r="G147" s="16"/>
      <c r="H147" s="16"/>
      <c r="I147" s="16"/>
      <c r="J147" s="16">
        <f>I147+J142-J143</f>
        <v>191969.95</v>
      </c>
      <c r="K147" s="16">
        <f>J147+K142-K143</f>
        <v>117990.8</v>
      </c>
      <c r="L147" s="16"/>
    </row>
    <row r="148" spans="1:12">
      <c r="A148" s="14"/>
      <c r="B148" s="14" t="s">
        <v>60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</row>
    <row r="149" spans="1:12">
      <c r="A149" s="14"/>
      <c r="B149" s="14" t="s">
        <v>61</v>
      </c>
      <c r="C149" s="14"/>
      <c r="D149" s="14"/>
      <c r="E149" s="14"/>
      <c r="F149" s="18"/>
      <c r="G149" s="18"/>
      <c r="H149" s="14"/>
      <c r="I149" s="14"/>
      <c r="J149" s="14"/>
      <c r="K149" s="14"/>
      <c r="L149" s="14"/>
    </row>
    <row r="150" spans="1:12">
      <c r="F150" t="s">
        <v>114</v>
      </c>
    </row>
  </sheetData>
  <mergeCells count="37">
    <mergeCell ref="A62:L62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A59:L59"/>
    <mergeCell ref="A60:L60"/>
    <mergeCell ref="A61:L61"/>
    <mergeCell ref="A136:L136"/>
    <mergeCell ref="A63:A64"/>
    <mergeCell ref="B63:B64"/>
    <mergeCell ref="C63:C64"/>
    <mergeCell ref="D63:D64"/>
    <mergeCell ref="E63:E64"/>
    <mergeCell ref="F63:F64"/>
    <mergeCell ref="G63:G64"/>
    <mergeCell ref="H63:H64"/>
    <mergeCell ref="I63:L63"/>
    <mergeCell ref="A134:L134"/>
    <mergeCell ref="A135:L135"/>
    <mergeCell ref="G137:G138"/>
    <mergeCell ref="H137:H138"/>
    <mergeCell ref="I137:L137"/>
    <mergeCell ref="A137:A138"/>
    <mergeCell ref="B137:B138"/>
    <mergeCell ref="C137:C138"/>
    <mergeCell ref="D137:D138"/>
    <mergeCell ref="E137:E138"/>
    <mergeCell ref="F137:F13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52"/>
  <sheetViews>
    <sheetView tabSelected="1" topLeftCell="A4" workbookViewId="0">
      <selection activeCell="G75" sqref="G75"/>
    </sheetView>
  </sheetViews>
  <sheetFormatPr defaultRowHeight="15"/>
  <cols>
    <col min="1" max="1" width="6.5703125" customWidth="1"/>
    <col min="2" max="2" width="30.7109375" customWidth="1"/>
    <col min="3" max="3" width="6.7109375" customWidth="1"/>
    <col min="4" max="4" width="10" customWidth="1"/>
    <col min="5" max="6" width="10.28515625" customWidth="1"/>
    <col min="7" max="7" width="9.42578125" customWidth="1"/>
    <col min="8" max="8" width="6.5703125" customWidth="1"/>
    <col min="9" max="9" width="8.85546875" customWidth="1"/>
    <col min="10" max="10" width="8.140625" customWidth="1"/>
    <col min="11" max="11" width="8.7109375" customWidth="1"/>
    <col min="12" max="12" width="10.140625" customWidth="1"/>
    <col min="14" max="14" width="9.5703125" bestFit="1" customWidth="1"/>
  </cols>
  <sheetData>
    <row r="1" spans="1:12">
      <c r="A1" s="66" t="s">
        <v>164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>
      <c r="A3" s="63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>
      <c r="A4" s="53" t="s">
        <v>2</v>
      </c>
      <c r="B4" s="55" t="s">
        <v>3</v>
      </c>
      <c r="C4" s="57" t="s">
        <v>4</v>
      </c>
      <c r="D4" s="59" t="s">
        <v>5</v>
      </c>
      <c r="E4" s="61" t="s">
        <v>6</v>
      </c>
      <c r="F4" s="48" t="s">
        <v>7</v>
      </c>
      <c r="G4" s="48" t="s">
        <v>8</v>
      </c>
      <c r="H4" s="48" t="s">
        <v>9</v>
      </c>
      <c r="I4" s="50" t="s">
        <v>10</v>
      </c>
      <c r="J4" s="51"/>
      <c r="K4" s="51"/>
      <c r="L4" s="52"/>
    </row>
    <row r="5" spans="1:12" ht="18.75" customHeight="1">
      <c r="A5" s="54"/>
      <c r="B5" s="56"/>
      <c r="C5" s="58"/>
      <c r="D5" s="60"/>
      <c r="E5" s="62"/>
      <c r="F5" s="49"/>
      <c r="G5" s="49"/>
      <c r="H5" s="49"/>
      <c r="I5" s="47" t="s">
        <v>155</v>
      </c>
      <c r="J5" s="47" t="s">
        <v>156</v>
      </c>
      <c r="K5" s="47" t="s">
        <v>157</v>
      </c>
      <c r="L5" s="4" t="s">
        <v>11</v>
      </c>
    </row>
    <row r="6" spans="1:12">
      <c r="A6" s="2"/>
      <c r="B6" s="46"/>
      <c r="C6" s="2"/>
      <c r="D6" s="45" t="s">
        <v>12</v>
      </c>
      <c r="E6" s="2"/>
      <c r="F6" s="2"/>
      <c r="G6" s="2"/>
      <c r="H6" s="2"/>
      <c r="I6" s="4" t="s">
        <v>13</v>
      </c>
      <c r="J6" s="4" t="s">
        <v>14</v>
      </c>
      <c r="K6" s="4" t="s">
        <v>14</v>
      </c>
      <c r="L6" s="4" t="s">
        <v>15</v>
      </c>
    </row>
    <row r="7" spans="1:1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>
      <c r="A8" s="6">
        <v>1</v>
      </c>
      <c r="B8" s="27" t="s">
        <v>16</v>
      </c>
      <c r="C8" s="6"/>
      <c r="D8" s="12">
        <v>3695.9</v>
      </c>
      <c r="E8" s="6"/>
      <c r="F8" s="6"/>
      <c r="G8" s="6"/>
      <c r="H8" s="6"/>
      <c r="I8" s="6"/>
      <c r="J8" s="6"/>
      <c r="K8" s="6"/>
      <c r="L8" s="6"/>
    </row>
    <row r="9" spans="1:12">
      <c r="A9" s="6">
        <v>2</v>
      </c>
      <c r="B9" s="6" t="s">
        <v>17</v>
      </c>
      <c r="C9" s="6">
        <v>180</v>
      </c>
      <c r="D9" s="31">
        <f>5053000+35000</f>
        <v>5088000</v>
      </c>
      <c r="E9" s="12">
        <v>1259328</v>
      </c>
      <c r="F9" s="12">
        <v>1599224</v>
      </c>
      <c r="G9" s="12">
        <f>I9+J9+K9</f>
        <v>962224</v>
      </c>
      <c r="H9" s="12"/>
      <c r="I9" s="12">
        <v>340900</v>
      </c>
      <c r="J9" s="12">
        <f>347000</f>
        <v>347000</v>
      </c>
      <c r="K9" s="12">
        <f>274324</f>
        <v>274324</v>
      </c>
      <c r="L9" s="12">
        <f>E9+F9+G9+H9</f>
        <v>3820776</v>
      </c>
    </row>
    <row r="10" spans="1:12">
      <c r="A10" s="6">
        <v>3</v>
      </c>
      <c r="B10" s="6" t="s">
        <v>18</v>
      </c>
      <c r="C10" s="6">
        <v>200</v>
      </c>
      <c r="D10" s="31">
        <f>D11+D15+D41+D43</f>
        <v>5094195.9000000004</v>
      </c>
      <c r="E10" s="12">
        <v>1259359.8500000001</v>
      </c>
      <c r="F10" s="12">
        <v>1527830.56</v>
      </c>
      <c r="G10" s="12">
        <f>I10+J10+K10</f>
        <v>1036206.3799999999</v>
      </c>
      <c r="H10" s="12"/>
      <c r="I10" s="12">
        <f>I11+I15+I41+I43</f>
        <v>361397.29999999993</v>
      </c>
      <c r="J10" s="12">
        <f>J11+J15+J41+J43</f>
        <v>400978.29</v>
      </c>
      <c r="K10" s="12">
        <f>K11+K15+K41+K43</f>
        <v>273830.79000000004</v>
      </c>
      <c r="L10" s="12">
        <f>E10+F10+G10+H10</f>
        <v>3823396.79</v>
      </c>
    </row>
    <row r="11" spans="1:12">
      <c r="A11" s="7" t="s">
        <v>19</v>
      </c>
      <c r="B11" s="6" t="s">
        <v>20</v>
      </c>
      <c r="C11" s="6">
        <v>210</v>
      </c>
      <c r="D11" s="12">
        <f>D12+D13+D14</f>
        <v>3485300</v>
      </c>
      <c r="E11" s="12">
        <v>649465.61</v>
      </c>
      <c r="F11" s="12">
        <v>919124.31</v>
      </c>
      <c r="G11" s="12">
        <f>I11+J11+K11</f>
        <v>877335.40999999992</v>
      </c>
      <c r="H11" s="12"/>
      <c r="I11" s="12">
        <f>I12+I13+I14</f>
        <v>302636.08999999997</v>
      </c>
      <c r="J11" s="12">
        <f>J12+J13+J14</f>
        <v>304537.74</v>
      </c>
      <c r="K11" s="12">
        <f>K12+K13+K14</f>
        <v>270161.58</v>
      </c>
      <c r="L11" s="12">
        <f>E11+F11+G11+H11</f>
        <v>2445925.33</v>
      </c>
    </row>
    <row r="12" spans="1:12">
      <c r="A12" s="11" t="s">
        <v>21</v>
      </c>
      <c r="B12" s="11" t="s">
        <v>22</v>
      </c>
      <c r="C12" s="11">
        <v>211</v>
      </c>
      <c r="D12" s="30">
        <f>2650000+27000</f>
        <v>2677000</v>
      </c>
      <c r="E12" s="12">
        <v>528231.39</v>
      </c>
      <c r="F12" s="12">
        <v>712604.94</v>
      </c>
      <c r="G12" s="12">
        <f t="shared" ref="G12:G15" si="0">I12+J12+K12</f>
        <v>674737.09</v>
      </c>
      <c r="H12" s="16"/>
      <c r="I12" s="30">
        <f>94144.87+29743+61000+4314.66+23020.65+3779+11284.72+1686</f>
        <v>228972.9</v>
      </c>
      <c r="J12" s="30">
        <f>6886.3+22078+95294.52+47866.75+4638+57500</f>
        <v>234263.57</v>
      </c>
      <c r="K12" s="30">
        <f>148717.74+3068.15+20670+16224.54+21000+1820.19</f>
        <v>211500.62</v>
      </c>
      <c r="L12" s="12">
        <f>E12+F12+G12+H12</f>
        <v>1915573.42</v>
      </c>
    </row>
    <row r="13" spans="1:12">
      <c r="A13" s="11" t="s">
        <v>23</v>
      </c>
      <c r="B13" s="11" t="s">
        <v>24</v>
      </c>
      <c r="C13" s="11">
        <v>212</v>
      </c>
      <c r="D13" s="16">
        <v>0</v>
      </c>
      <c r="E13" s="12">
        <v>0</v>
      </c>
      <c r="F13" s="12">
        <f t="shared" ref="F13:F40" si="1">I13+J13+K13</f>
        <v>0</v>
      </c>
      <c r="G13" s="12">
        <f t="shared" si="0"/>
        <v>0</v>
      </c>
      <c r="H13" s="16"/>
      <c r="I13" s="16"/>
      <c r="J13" s="16"/>
      <c r="K13" s="16"/>
      <c r="L13" s="12">
        <f t="shared" ref="L13" si="2">E13+F13+G13+H13</f>
        <v>0</v>
      </c>
    </row>
    <row r="14" spans="1:12">
      <c r="A14" s="11" t="s">
        <v>25</v>
      </c>
      <c r="B14" s="11" t="s">
        <v>26</v>
      </c>
      <c r="C14" s="11">
        <v>213</v>
      </c>
      <c r="D14" s="30">
        <f>800300+8000</f>
        <v>808300</v>
      </c>
      <c r="E14" s="12">
        <v>121234.22</v>
      </c>
      <c r="F14" s="12">
        <v>206519.37</v>
      </c>
      <c r="G14" s="12">
        <f t="shared" si="0"/>
        <v>202598.31999999998</v>
      </c>
      <c r="H14" s="16"/>
      <c r="I14" s="30">
        <f>53661.93+12439.81+7073.62+487.83</f>
        <v>73663.19</v>
      </c>
      <c r="J14" s="30">
        <f>49555.96+11487.95+450.52+8779.74</f>
        <v>70274.17</v>
      </c>
      <c r="K14" s="30">
        <f>1539.42+230+45846.66+10628.09+416.79</f>
        <v>58660.959999999999</v>
      </c>
      <c r="L14" s="12">
        <f>E14+F14+G14+H14</f>
        <v>530351.90999999992</v>
      </c>
    </row>
    <row r="15" spans="1:12">
      <c r="A15" s="6" t="s">
        <v>27</v>
      </c>
      <c r="B15" s="6" t="s">
        <v>28</v>
      </c>
      <c r="C15" s="6">
        <v>220</v>
      </c>
      <c r="D15" s="12">
        <f>D16+D21+D27+D31+D41</f>
        <v>1177896</v>
      </c>
      <c r="E15" s="12">
        <v>440612.73</v>
      </c>
      <c r="F15" s="12">
        <v>441892.26</v>
      </c>
      <c r="G15" s="12">
        <f t="shared" si="0"/>
        <v>131044.48000000001</v>
      </c>
      <c r="H15" s="12"/>
      <c r="I15" s="12">
        <f>I16+I21+I26+I31+I27</f>
        <v>58423.22</v>
      </c>
      <c r="J15" s="12">
        <f>J16+J21+J26+J31+J27</f>
        <v>68952.05</v>
      </c>
      <c r="K15" s="12">
        <f>K16+K21+K26+K31+K27</f>
        <v>3669.21</v>
      </c>
      <c r="L15" s="12">
        <f>E15+F15+G15+H15</f>
        <v>1013549.47</v>
      </c>
    </row>
    <row r="16" spans="1:12">
      <c r="A16" s="11" t="s">
        <v>29</v>
      </c>
      <c r="B16" s="11" t="s">
        <v>30</v>
      </c>
      <c r="C16" s="11">
        <v>221</v>
      </c>
      <c r="D16" s="30">
        <f>D17+D18+D19</f>
        <v>45000</v>
      </c>
      <c r="E16" s="12">
        <v>3726.44</v>
      </c>
      <c r="F16" s="12">
        <v>8926.85</v>
      </c>
      <c r="G16" s="12">
        <f t="shared" ref="G16:G26" si="3">I16+J16+K16</f>
        <v>10679.25</v>
      </c>
      <c r="H16" s="16"/>
      <c r="I16" s="30">
        <f>I17+I18+I19+I20</f>
        <v>3279.7799999999997</v>
      </c>
      <c r="J16" s="30">
        <f t="shared" ref="J16:K16" si="4">J17+J18+J19+J20</f>
        <v>3730.26</v>
      </c>
      <c r="K16" s="30">
        <f t="shared" si="4"/>
        <v>3669.21</v>
      </c>
      <c r="L16" s="12">
        <f>E16+F16+G16+H16</f>
        <v>23332.54</v>
      </c>
    </row>
    <row r="17" spans="1:12">
      <c r="A17" s="8"/>
      <c r="B17" s="8" t="s">
        <v>31</v>
      </c>
      <c r="C17" s="8">
        <v>221</v>
      </c>
      <c r="D17" s="13">
        <v>14410</v>
      </c>
      <c r="E17" s="17">
        <v>0</v>
      </c>
      <c r="F17" s="17">
        <v>3337.19</v>
      </c>
      <c r="G17" s="17">
        <f t="shared" si="3"/>
        <v>5089.59</v>
      </c>
      <c r="H17" s="13"/>
      <c r="I17" s="13">
        <f>1416.56</f>
        <v>1416.56</v>
      </c>
      <c r="J17" s="19">
        <f>1867.04</f>
        <v>1867.04</v>
      </c>
      <c r="K17" s="17">
        <v>1805.99</v>
      </c>
      <c r="L17" s="17">
        <f t="shared" ref="L17:L19" si="5">E17+F17+G17+H17</f>
        <v>8426.7800000000007</v>
      </c>
    </row>
    <row r="18" spans="1:12">
      <c r="A18" s="8"/>
      <c r="B18" s="8" t="s">
        <v>32</v>
      </c>
      <c r="C18" s="8">
        <v>221</v>
      </c>
      <c r="D18" s="13">
        <v>27017</v>
      </c>
      <c r="E18" s="17">
        <v>3726.44</v>
      </c>
      <c r="F18" s="17">
        <v>5589.66</v>
      </c>
      <c r="G18" s="17">
        <f t="shared" si="3"/>
        <v>5589.66</v>
      </c>
      <c r="H18" s="13"/>
      <c r="I18" s="13">
        <f>1863.22</f>
        <v>1863.22</v>
      </c>
      <c r="J18" s="19">
        <f>1863.22</f>
        <v>1863.22</v>
      </c>
      <c r="K18" s="17">
        <v>1863.22</v>
      </c>
      <c r="L18" s="17">
        <f t="shared" si="5"/>
        <v>14905.76</v>
      </c>
    </row>
    <row r="19" spans="1:12">
      <c r="A19" s="8"/>
      <c r="B19" s="8" t="s">
        <v>33</v>
      </c>
      <c r="C19" s="8">
        <v>221</v>
      </c>
      <c r="D19" s="13">
        <v>3573</v>
      </c>
      <c r="E19" s="17">
        <v>0</v>
      </c>
      <c r="F19" s="17">
        <f t="shared" si="1"/>
        <v>0</v>
      </c>
      <c r="G19" s="17">
        <f t="shared" si="3"/>
        <v>0</v>
      </c>
      <c r="H19" s="13"/>
      <c r="I19" s="13"/>
      <c r="J19" s="13"/>
      <c r="K19" s="13"/>
      <c r="L19" s="17">
        <f t="shared" si="5"/>
        <v>0</v>
      </c>
    </row>
    <row r="20" spans="1:12">
      <c r="A20" s="11" t="s">
        <v>34</v>
      </c>
      <c r="B20" s="11" t="s">
        <v>35</v>
      </c>
      <c r="C20" s="11">
        <v>222</v>
      </c>
      <c r="D20" s="16">
        <v>0</v>
      </c>
      <c r="E20" s="12">
        <v>0</v>
      </c>
      <c r="F20" s="17">
        <f t="shared" si="1"/>
        <v>0</v>
      </c>
      <c r="G20" s="17">
        <f t="shared" si="3"/>
        <v>0</v>
      </c>
      <c r="H20" s="16"/>
      <c r="I20" s="16">
        <v>0</v>
      </c>
      <c r="J20" s="16">
        <v>0</v>
      </c>
      <c r="K20" s="16">
        <v>0</v>
      </c>
      <c r="L20" s="12">
        <v>0</v>
      </c>
    </row>
    <row r="21" spans="1:12">
      <c r="A21" s="11" t="s">
        <v>36</v>
      </c>
      <c r="B21" s="11" t="s">
        <v>37</v>
      </c>
      <c r="C21" s="11">
        <v>223</v>
      </c>
      <c r="D21" s="30">
        <f>D22+D23+D24+D25+D26</f>
        <v>566000</v>
      </c>
      <c r="E21" s="12">
        <v>202887.25</v>
      </c>
      <c r="F21" s="12">
        <v>141077.65</v>
      </c>
      <c r="G21" s="12">
        <f t="shared" si="3"/>
        <v>106100.23000000001</v>
      </c>
      <c r="H21" s="16"/>
      <c r="I21" s="30">
        <f>I22+I23+I24+I25+I26</f>
        <v>49293.440000000002</v>
      </c>
      <c r="J21" s="30">
        <f t="shared" ref="J21:K21" si="6">J22+J23+J24+J25+J26</f>
        <v>56806.79</v>
      </c>
      <c r="K21" s="30">
        <f t="shared" si="6"/>
        <v>0</v>
      </c>
      <c r="L21" s="12">
        <f>E21+F21+G21+H21</f>
        <v>450065.13</v>
      </c>
    </row>
    <row r="22" spans="1:12">
      <c r="A22" s="8"/>
      <c r="B22" s="8" t="s">
        <v>38</v>
      </c>
      <c r="C22" s="8">
        <v>223</v>
      </c>
      <c r="D22" s="13">
        <v>361901</v>
      </c>
      <c r="E22" s="17">
        <v>154998.63</v>
      </c>
      <c r="F22" s="17">
        <f t="shared" si="1"/>
        <v>0</v>
      </c>
      <c r="G22" s="17">
        <f t="shared" si="3"/>
        <v>0</v>
      </c>
      <c r="H22" s="13"/>
      <c r="I22" s="13"/>
      <c r="J22" s="17"/>
      <c r="K22" s="17"/>
      <c r="L22" s="17">
        <f>E22+F22+G22+H22</f>
        <v>154998.63</v>
      </c>
    </row>
    <row r="23" spans="1:12">
      <c r="A23" s="8"/>
      <c r="B23" s="8" t="s">
        <v>39</v>
      </c>
      <c r="C23" s="8">
        <v>223</v>
      </c>
      <c r="D23" s="13">
        <v>24000</v>
      </c>
      <c r="E23" s="17">
        <v>0</v>
      </c>
      <c r="F23" s="17">
        <v>83402.37</v>
      </c>
      <c r="G23" s="17">
        <f t="shared" si="3"/>
        <v>3547.05</v>
      </c>
      <c r="H23" s="13"/>
      <c r="I23" s="13">
        <f>1726.86</f>
        <v>1726.86</v>
      </c>
      <c r="J23" s="17">
        <f>1820.19</f>
        <v>1820.19</v>
      </c>
      <c r="K23" s="17"/>
      <c r="L23" s="17">
        <f t="shared" ref="L23:L25" si="7">E23+F23+G23+H23</f>
        <v>86949.42</v>
      </c>
    </row>
    <row r="24" spans="1:12">
      <c r="A24" s="8"/>
      <c r="B24" s="8" t="s">
        <v>40</v>
      </c>
      <c r="C24" s="8">
        <v>223</v>
      </c>
      <c r="D24" s="13">
        <v>170099</v>
      </c>
      <c r="E24" s="17">
        <v>47888.62</v>
      </c>
      <c r="F24" s="17">
        <v>57675.28</v>
      </c>
      <c r="G24" s="17">
        <f t="shared" si="3"/>
        <v>102553.18</v>
      </c>
      <c r="H24" s="13"/>
      <c r="I24" s="13">
        <f>25701.5+21865.08</f>
        <v>47566.58</v>
      </c>
      <c r="J24" s="17">
        <f>24172.89+30813.71</f>
        <v>54986.6</v>
      </c>
      <c r="K24" s="17"/>
      <c r="L24" s="17">
        <f t="shared" si="7"/>
        <v>208117.08</v>
      </c>
    </row>
    <row r="25" spans="1:12">
      <c r="A25" s="8"/>
      <c r="B25" s="8" t="s">
        <v>41</v>
      </c>
      <c r="C25" s="8">
        <v>223</v>
      </c>
      <c r="D25" s="13">
        <v>10000</v>
      </c>
      <c r="E25" s="17">
        <v>0</v>
      </c>
      <c r="F25" s="17">
        <f t="shared" si="1"/>
        <v>0</v>
      </c>
      <c r="G25" s="17">
        <f t="shared" si="3"/>
        <v>0</v>
      </c>
      <c r="H25" s="13"/>
      <c r="I25" s="13"/>
      <c r="J25" s="13"/>
      <c r="K25" s="13"/>
      <c r="L25" s="17">
        <f t="shared" si="7"/>
        <v>0</v>
      </c>
    </row>
    <row r="26" spans="1:12">
      <c r="A26" s="11" t="s">
        <v>42</v>
      </c>
      <c r="B26" s="11" t="s">
        <v>127</v>
      </c>
      <c r="C26" s="11">
        <v>224</v>
      </c>
      <c r="D26" s="16">
        <v>0</v>
      </c>
      <c r="E26" s="17">
        <v>0</v>
      </c>
      <c r="F26" s="17">
        <f t="shared" si="1"/>
        <v>0</v>
      </c>
      <c r="G26" s="17">
        <f t="shared" si="3"/>
        <v>0</v>
      </c>
      <c r="H26" s="11"/>
      <c r="I26" s="16">
        <v>0</v>
      </c>
      <c r="J26" s="16">
        <v>0</v>
      </c>
      <c r="K26" s="16">
        <v>0</v>
      </c>
      <c r="L26" s="17">
        <v>0</v>
      </c>
    </row>
    <row r="27" spans="1:12">
      <c r="A27" s="11" t="s">
        <v>43</v>
      </c>
      <c r="B27" s="11" t="s">
        <v>44</v>
      </c>
      <c r="C27" s="11">
        <v>225</v>
      </c>
      <c r="D27" s="30">
        <f>D28+D29+D30</f>
        <v>252596</v>
      </c>
      <c r="E27" s="12">
        <v>120216</v>
      </c>
      <c r="F27" s="12">
        <v>116328</v>
      </c>
      <c r="G27" s="16">
        <f>I27+J27+K27</f>
        <v>1215</v>
      </c>
      <c r="H27" s="16"/>
      <c r="I27" s="30">
        <f>I28+I29+I30</f>
        <v>0</v>
      </c>
      <c r="J27" s="30">
        <f>J28+J29+J30</f>
        <v>1215</v>
      </c>
      <c r="K27" s="30">
        <f>K28+K29+K30</f>
        <v>0</v>
      </c>
      <c r="L27" s="12">
        <f>E27+F27+G27+H27</f>
        <v>237759</v>
      </c>
    </row>
    <row r="28" spans="1:12" ht="47.25" customHeight="1">
      <c r="A28" s="8"/>
      <c r="B28" s="28" t="s">
        <v>159</v>
      </c>
      <c r="C28" s="8">
        <v>225</v>
      </c>
      <c r="D28" s="13">
        <v>28596</v>
      </c>
      <c r="E28" s="17">
        <v>56976</v>
      </c>
      <c r="F28" s="17">
        <v>74178</v>
      </c>
      <c r="G28" s="17">
        <f>I28+J28+K28</f>
        <v>1215</v>
      </c>
      <c r="H28" s="13"/>
      <c r="I28" s="13"/>
      <c r="J28" s="17">
        <f>1215</f>
        <v>1215</v>
      </c>
      <c r="K28" s="17"/>
      <c r="L28" s="17">
        <f t="shared" ref="L28:L30" si="8">E28+F28+G28+H28</f>
        <v>132369</v>
      </c>
    </row>
    <row r="29" spans="1:12" ht="57">
      <c r="A29" s="8"/>
      <c r="B29" s="28" t="s">
        <v>160</v>
      </c>
      <c r="C29" s="8">
        <v>225</v>
      </c>
      <c r="D29" s="13">
        <f>344000-180000+90000+69027.61+20972.39-180000</f>
        <v>164000</v>
      </c>
      <c r="E29" s="17">
        <v>23540</v>
      </c>
      <c r="F29" s="17">
        <v>6000</v>
      </c>
      <c r="G29" s="17">
        <f t="shared" ref="G29:G30" si="9">I29+J29+K29</f>
        <v>0</v>
      </c>
      <c r="H29" s="13"/>
      <c r="I29" s="13"/>
      <c r="J29" s="17"/>
      <c r="K29" s="17"/>
      <c r="L29" s="17">
        <f t="shared" si="8"/>
        <v>29540</v>
      </c>
    </row>
    <row r="30" spans="1:12">
      <c r="A30" s="8"/>
      <c r="B30" s="8" t="s">
        <v>111</v>
      </c>
      <c r="C30" s="8">
        <v>225</v>
      </c>
      <c r="D30" s="13">
        <v>60000</v>
      </c>
      <c r="E30" s="17">
        <v>39700</v>
      </c>
      <c r="F30" s="17">
        <v>36150</v>
      </c>
      <c r="G30" s="17">
        <f t="shared" si="9"/>
        <v>0</v>
      </c>
      <c r="H30" s="13"/>
      <c r="I30" s="13"/>
      <c r="J30" s="17"/>
      <c r="K30" s="17"/>
      <c r="L30" s="17">
        <f t="shared" si="8"/>
        <v>75850</v>
      </c>
    </row>
    <row r="31" spans="1:12">
      <c r="A31" s="11" t="s">
        <v>45</v>
      </c>
      <c r="B31" s="11" t="s">
        <v>46</v>
      </c>
      <c r="C31" s="11">
        <v>226</v>
      </c>
      <c r="D31" s="30">
        <f>D32+D33+D34+D35+D36+D37+D40+D38+D39</f>
        <v>311800</v>
      </c>
      <c r="E31" s="12">
        <v>113783.03999999999</v>
      </c>
      <c r="F31" s="12">
        <v>175559.76</v>
      </c>
      <c r="G31" s="16">
        <f>I31+J31+K31</f>
        <v>13050</v>
      </c>
      <c r="H31" s="16"/>
      <c r="I31" s="30">
        <f>I32+I33+I34+I35+I36+I37+I38+I39+I40</f>
        <v>5850</v>
      </c>
      <c r="J31" s="30">
        <f>J32+J33+J34+J35+J36+J37+J40+J38</f>
        <v>7200</v>
      </c>
      <c r="K31" s="30">
        <f>K32+K33+K34+K35+K36+K37+K38+K39+K40</f>
        <v>0</v>
      </c>
      <c r="L31" s="12">
        <f>E31+F31+G31+H31</f>
        <v>302392.8</v>
      </c>
    </row>
    <row r="32" spans="1:12" ht="23.25">
      <c r="A32" s="8"/>
      <c r="B32" s="28" t="s">
        <v>134</v>
      </c>
      <c r="C32" s="8">
        <v>226</v>
      </c>
      <c r="D32" s="13">
        <v>22800</v>
      </c>
      <c r="E32" s="17">
        <v>8200</v>
      </c>
      <c r="F32" s="17">
        <v>22900</v>
      </c>
      <c r="G32" s="17">
        <f t="shared" ref="G32:G40" si="10">I32+J32+K32</f>
        <v>2400</v>
      </c>
      <c r="H32" s="13"/>
      <c r="I32" s="13">
        <f>2400</f>
        <v>2400</v>
      </c>
      <c r="J32" s="17"/>
      <c r="K32" s="17"/>
      <c r="L32" s="17">
        <f>E32+F32+G32+H32</f>
        <v>33500</v>
      </c>
    </row>
    <row r="33" spans="1:13" ht="23.25">
      <c r="A33" s="8"/>
      <c r="B33" s="28" t="s">
        <v>150</v>
      </c>
      <c r="C33" s="8">
        <v>226</v>
      </c>
      <c r="D33" s="13">
        <v>45000</v>
      </c>
      <c r="E33" s="17">
        <v>16134.84</v>
      </c>
      <c r="F33" s="17">
        <v>6600</v>
      </c>
      <c r="G33" s="17">
        <f t="shared" si="10"/>
        <v>4400</v>
      </c>
      <c r="H33" s="13"/>
      <c r="I33" s="13">
        <f>2200</f>
        <v>2200</v>
      </c>
      <c r="J33" s="13">
        <v>2200</v>
      </c>
      <c r="K33" s="17"/>
      <c r="L33" s="17">
        <f t="shared" ref="L33:L40" si="11">E33+F33+G33+H33</f>
        <v>27134.84</v>
      </c>
    </row>
    <row r="34" spans="1:13" ht="23.25">
      <c r="A34" s="8"/>
      <c r="B34" s="28" t="s">
        <v>118</v>
      </c>
      <c r="C34" s="8">
        <v>226</v>
      </c>
      <c r="D34" s="13">
        <v>30000</v>
      </c>
      <c r="E34" s="17">
        <v>22560</v>
      </c>
      <c r="F34" s="17">
        <v>44600</v>
      </c>
      <c r="G34" s="17">
        <f t="shared" si="10"/>
        <v>5000</v>
      </c>
      <c r="H34" s="13"/>
      <c r="I34" s="13"/>
      <c r="J34" s="17">
        <v>5000</v>
      </c>
      <c r="K34" s="17"/>
      <c r="L34" s="17">
        <f t="shared" si="11"/>
        <v>72160</v>
      </c>
    </row>
    <row r="35" spans="1:13">
      <c r="A35" s="8"/>
      <c r="B35" s="8" t="s">
        <v>112</v>
      </c>
      <c r="C35" s="8">
        <v>226</v>
      </c>
      <c r="D35" s="13">
        <v>20000</v>
      </c>
      <c r="E35" s="17">
        <v>0</v>
      </c>
      <c r="F35" s="17">
        <f t="shared" si="1"/>
        <v>0</v>
      </c>
      <c r="G35" s="17">
        <f t="shared" si="10"/>
        <v>0</v>
      </c>
      <c r="H35" s="13"/>
      <c r="I35" s="13"/>
      <c r="J35" s="17"/>
      <c r="K35" s="17"/>
      <c r="L35" s="17">
        <f t="shared" si="11"/>
        <v>0</v>
      </c>
    </row>
    <row r="36" spans="1:13">
      <c r="A36" s="8"/>
      <c r="B36" s="8" t="s">
        <v>137</v>
      </c>
      <c r="C36" s="8">
        <v>226</v>
      </c>
      <c r="D36" s="13">
        <v>14000</v>
      </c>
      <c r="E36" s="17">
        <v>0</v>
      </c>
      <c r="F36" s="17">
        <v>12039</v>
      </c>
      <c r="G36" s="17">
        <f t="shared" si="10"/>
        <v>0</v>
      </c>
      <c r="H36" s="13"/>
      <c r="I36" s="13"/>
      <c r="J36" s="13"/>
      <c r="K36" s="17"/>
      <c r="L36" s="17">
        <f t="shared" si="11"/>
        <v>12039</v>
      </c>
    </row>
    <row r="37" spans="1:13">
      <c r="A37" s="8"/>
      <c r="B37" s="8" t="s">
        <v>133</v>
      </c>
      <c r="C37" s="8">
        <v>226</v>
      </c>
      <c r="D37" s="13">
        <v>40000</v>
      </c>
      <c r="E37" s="17">
        <v>43433.2</v>
      </c>
      <c r="F37" s="17">
        <v>15583.76</v>
      </c>
      <c r="G37" s="17">
        <f t="shared" si="10"/>
        <v>0</v>
      </c>
      <c r="H37" s="13"/>
      <c r="I37" s="13"/>
      <c r="J37" s="13"/>
      <c r="K37" s="17"/>
      <c r="L37" s="17">
        <f>E37+F37+G37+H37</f>
        <v>59016.959999999999</v>
      </c>
    </row>
    <row r="38" spans="1:13">
      <c r="A38" s="8"/>
      <c r="B38" s="8" t="s">
        <v>148</v>
      </c>
      <c r="C38" s="8">
        <v>226</v>
      </c>
      <c r="D38" s="13">
        <v>90000</v>
      </c>
      <c r="E38" s="17">
        <f>0</f>
        <v>0</v>
      </c>
      <c r="F38" s="17">
        <v>73397</v>
      </c>
      <c r="G38" s="17">
        <f t="shared" si="10"/>
        <v>0</v>
      </c>
      <c r="H38" s="13"/>
      <c r="I38" s="13"/>
      <c r="J38" s="13"/>
      <c r="K38" s="17"/>
      <c r="L38" s="17">
        <f>E38+F38+G38+H38</f>
        <v>73397</v>
      </c>
    </row>
    <row r="39" spans="1:13">
      <c r="A39" s="8"/>
      <c r="B39" s="8" t="s">
        <v>152</v>
      </c>
      <c r="C39" s="8">
        <v>226</v>
      </c>
      <c r="D39" s="13">
        <v>20000</v>
      </c>
      <c r="E39" s="17">
        <f>0</f>
        <v>0</v>
      </c>
      <c r="F39" s="17">
        <v>440</v>
      </c>
      <c r="G39" s="17">
        <f t="shared" si="10"/>
        <v>1250</v>
      </c>
      <c r="H39" s="13"/>
      <c r="I39" s="13">
        <f>1250</f>
        <v>1250</v>
      </c>
      <c r="J39" s="13"/>
      <c r="K39" s="17"/>
      <c r="L39" s="17">
        <f>E39+F39+G39+H39</f>
        <v>1690</v>
      </c>
    </row>
    <row r="40" spans="1:13">
      <c r="A40" s="8"/>
      <c r="B40" s="8" t="s">
        <v>109</v>
      </c>
      <c r="C40" s="8">
        <v>226</v>
      </c>
      <c r="D40" s="13">
        <v>30000</v>
      </c>
      <c r="E40" s="17">
        <v>23455</v>
      </c>
      <c r="F40" s="17">
        <f t="shared" si="1"/>
        <v>0</v>
      </c>
      <c r="G40" s="17">
        <f t="shared" si="10"/>
        <v>0</v>
      </c>
      <c r="H40" s="13"/>
      <c r="I40" s="13"/>
      <c r="J40" s="13"/>
      <c r="K40" s="17"/>
      <c r="L40" s="17">
        <f t="shared" si="11"/>
        <v>23455</v>
      </c>
    </row>
    <row r="41" spans="1:13">
      <c r="A41" s="6" t="s">
        <v>50</v>
      </c>
      <c r="B41" s="6" t="s">
        <v>51</v>
      </c>
      <c r="C41" s="6">
        <v>290</v>
      </c>
      <c r="D41" s="31">
        <f>D42</f>
        <v>2500</v>
      </c>
      <c r="E41" s="12">
        <v>337.99</v>
      </c>
      <c r="F41" s="12">
        <v>337.99</v>
      </c>
      <c r="G41" s="12">
        <f>I41+J41+K41</f>
        <v>337.99</v>
      </c>
      <c r="H41" s="12"/>
      <c r="I41" s="31">
        <f>I42</f>
        <v>337.99</v>
      </c>
      <c r="J41" s="31">
        <f t="shared" ref="J41:K41" si="12">J42</f>
        <v>0</v>
      </c>
      <c r="K41" s="31">
        <f t="shared" si="12"/>
        <v>0</v>
      </c>
      <c r="L41" s="12">
        <f>E41+F41+G41+H41</f>
        <v>1013.97</v>
      </c>
    </row>
    <row r="42" spans="1:13">
      <c r="A42" s="15"/>
      <c r="B42" s="15" t="s">
        <v>52</v>
      </c>
      <c r="C42" s="15">
        <v>290</v>
      </c>
      <c r="D42" s="17">
        <f>2500</f>
        <v>2500</v>
      </c>
      <c r="E42" s="17">
        <v>337.99</v>
      </c>
      <c r="F42" s="17">
        <v>337.99</v>
      </c>
      <c r="G42" s="17">
        <f>I42+J42+K42</f>
        <v>337.99</v>
      </c>
      <c r="H42" s="17"/>
      <c r="I42" s="17">
        <f>337.99</f>
        <v>337.99</v>
      </c>
      <c r="J42" s="17"/>
      <c r="K42" s="21"/>
      <c r="L42" s="17">
        <f>E42+F42+G42+H42</f>
        <v>1013.97</v>
      </c>
    </row>
    <row r="43" spans="1:13">
      <c r="A43" s="6" t="s">
        <v>53</v>
      </c>
      <c r="B43" s="6" t="s">
        <v>54</v>
      </c>
      <c r="C43" s="6">
        <v>300</v>
      </c>
      <c r="D43" s="31">
        <f>D44+D52</f>
        <v>428499.9</v>
      </c>
      <c r="E43" s="12">
        <v>168943.52</v>
      </c>
      <c r="F43" s="12">
        <v>166476</v>
      </c>
      <c r="G43" s="12">
        <f>I43+J43+K43</f>
        <v>27488.5</v>
      </c>
      <c r="H43" s="12"/>
      <c r="I43" s="12">
        <f>I44+I52</f>
        <v>0</v>
      </c>
      <c r="J43" s="12">
        <f t="shared" ref="J43:K43" si="13">J52</f>
        <v>27488.5</v>
      </c>
      <c r="K43" s="12">
        <f t="shared" si="13"/>
        <v>0</v>
      </c>
      <c r="L43" s="12">
        <f>E43+F43+G43+H43</f>
        <v>362908.02</v>
      </c>
    </row>
    <row r="44" spans="1:13">
      <c r="A44" s="24" t="s">
        <v>55</v>
      </c>
      <c r="B44" s="24" t="s">
        <v>56</v>
      </c>
      <c r="C44" s="22">
        <v>310</v>
      </c>
      <c r="D44" s="41">
        <f>D45+D46+D47+D48+D49</f>
        <v>69027.61</v>
      </c>
      <c r="E44" s="16">
        <v>0</v>
      </c>
      <c r="F44" s="16">
        <v>69027.61</v>
      </c>
      <c r="G44" s="12">
        <f t="shared" ref="G44:G49" si="14">I44+J44+K44</f>
        <v>0</v>
      </c>
      <c r="H44" s="41"/>
      <c r="I44" s="41">
        <f>I45+I46+I47+I48+I49</f>
        <v>0</v>
      </c>
      <c r="J44" s="41">
        <v>0</v>
      </c>
      <c r="K44" s="41">
        <v>0</v>
      </c>
      <c r="L44" s="12">
        <f>E44+F44+G44+H44</f>
        <v>69027.61</v>
      </c>
    </row>
    <row r="45" spans="1:13">
      <c r="A45" s="24"/>
      <c r="B45" s="24" t="s">
        <v>138</v>
      </c>
      <c r="C45" s="22">
        <v>310</v>
      </c>
      <c r="D45" s="43">
        <v>11451.65</v>
      </c>
      <c r="E45" s="16"/>
      <c r="F45" s="17">
        <v>11451.65</v>
      </c>
      <c r="G45" s="17">
        <f t="shared" si="14"/>
        <v>0</v>
      </c>
      <c r="H45" s="41"/>
      <c r="I45" s="43"/>
      <c r="J45" s="41"/>
      <c r="K45" s="41"/>
      <c r="L45" s="17">
        <f>E45+F45+G45+H45</f>
        <v>11451.65</v>
      </c>
      <c r="M45" s="44"/>
    </row>
    <row r="46" spans="1:13">
      <c r="A46" s="24"/>
      <c r="B46" s="24" t="s">
        <v>140</v>
      </c>
      <c r="C46" s="22">
        <v>310</v>
      </c>
      <c r="D46" s="43">
        <v>6613.82</v>
      </c>
      <c r="E46" s="16"/>
      <c r="F46" s="17">
        <v>6613.82</v>
      </c>
      <c r="G46" s="17">
        <f t="shared" si="14"/>
        <v>0</v>
      </c>
      <c r="H46" s="41"/>
      <c r="I46" s="43"/>
      <c r="J46" s="41"/>
      <c r="K46" s="41"/>
      <c r="L46" s="17">
        <f t="shared" ref="L46:L49" si="15">E46+F46+G46+H46</f>
        <v>6613.82</v>
      </c>
    </row>
    <row r="47" spans="1:13">
      <c r="A47" s="24"/>
      <c r="B47" s="24" t="s">
        <v>141</v>
      </c>
      <c r="C47" s="22">
        <v>310</v>
      </c>
      <c r="D47" s="43">
        <v>12860.2</v>
      </c>
      <c r="E47" s="16"/>
      <c r="F47" s="17">
        <v>12860.2</v>
      </c>
      <c r="G47" s="17">
        <f t="shared" si="14"/>
        <v>0</v>
      </c>
      <c r="H47" s="41"/>
      <c r="I47" s="43"/>
      <c r="J47" s="41"/>
      <c r="K47" s="41"/>
      <c r="L47" s="17">
        <f t="shared" si="15"/>
        <v>12860.2</v>
      </c>
    </row>
    <row r="48" spans="1:13">
      <c r="A48" s="24"/>
      <c r="B48" s="24" t="s">
        <v>142</v>
      </c>
      <c r="C48" s="22">
        <v>310</v>
      </c>
      <c r="D48" s="43">
        <v>13227.64</v>
      </c>
      <c r="E48" s="16"/>
      <c r="F48" s="17">
        <v>13227.64</v>
      </c>
      <c r="G48" s="17">
        <f t="shared" si="14"/>
        <v>0</v>
      </c>
      <c r="H48" s="41"/>
      <c r="I48" s="43"/>
      <c r="J48" s="41"/>
      <c r="K48" s="41"/>
      <c r="L48" s="17">
        <f t="shared" si="15"/>
        <v>13227.64</v>
      </c>
    </row>
    <row r="49" spans="1:14">
      <c r="A49" s="24"/>
      <c r="B49" s="24" t="s">
        <v>143</v>
      </c>
      <c r="C49" s="22">
        <v>310</v>
      </c>
      <c r="D49" s="43">
        <v>24874.3</v>
      </c>
      <c r="E49" s="16"/>
      <c r="F49" s="17">
        <v>24874.3</v>
      </c>
      <c r="G49" s="17">
        <f t="shared" si="14"/>
        <v>0</v>
      </c>
      <c r="H49" s="41"/>
      <c r="I49" s="43"/>
      <c r="J49" s="41"/>
      <c r="K49" s="41"/>
      <c r="L49" s="17">
        <f t="shared" si="15"/>
        <v>24874.3</v>
      </c>
      <c r="N49" s="44"/>
    </row>
    <row r="50" spans="1:14">
      <c r="A50" s="24"/>
      <c r="B50" s="24"/>
      <c r="C50" s="22">
        <v>310</v>
      </c>
      <c r="D50" s="41"/>
      <c r="E50" s="16"/>
      <c r="F50" s="16"/>
      <c r="G50" s="12"/>
      <c r="H50" s="41"/>
      <c r="I50" s="41"/>
      <c r="J50" s="41"/>
      <c r="K50" s="41"/>
      <c r="L50" s="12"/>
    </row>
    <row r="51" spans="1:14">
      <c r="A51" s="24"/>
      <c r="B51" s="24"/>
      <c r="C51" s="22">
        <v>310</v>
      </c>
      <c r="D51" s="41"/>
      <c r="E51" s="16"/>
      <c r="F51" s="16"/>
      <c r="G51" s="12"/>
      <c r="H51" s="41"/>
      <c r="I51" s="41"/>
      <c r="J51" s="41"/>
      <c r="K51" s="41"/>
      <c r="L51" s="12"/>
    </row>
    <row r="52" spans="1:14">
      <c r="A52" s="11" t="s">
        <v>57</v>
      </c>
      <c r="B52" s="11" t="s">
        <v>58</v>
      </c>
      <c r="C52" s="25">
        <v>340</v>
      </c>
      <c r="D52" s="30">
        <f>D53+D55+D54</f>
        <v>359472.29000000004</v>
      </c>
      <c r="E52" s="12">
        <v>168943.52</v>
      </c>
      <c r="F52" s="12">
        <v>67448.39</v>
      </c>
      <c r="G52" s="16">
        <f>I52+J52+K52</f>
        <v>27488.5</v>
      </c>
      <c r="H52" s="16"/>
      <c r="I52" s="30">
        <f>I53+I55</f>
        <v>0</v>
      </c>
      <c r="J52" s="30">
        <f>J53+J55</f>
        <v>27488.5</v>
      </c>
      <c r="K52" s="30">
        <f>K53+K55</f>
        <v>0</v>
      </c>
      <c r="L52" s="12">
        <f>E52+F52+G52+H52</f>
        <v>263880.40999999997</v>
      </c>
    </row>
    <row r="53" spans="1:14">
      <c r="A53" s="8"/>
      <c r="B53" s="8" t="s">
        <v>117</v>
      </c>
      <c r="C53" s="8">
        <v>340</v>
      </c>
      <c r="D53" s="13">
        <f>288700+3695.9</f>
        <v>292395.90000000002</v>
      </c>
      <c r="E53" s="17">
        <v>55662.3</v>
      </c>
      <c r="F53" s="17">
        <v>51105.39</v>
      </c>
      <c r="G53" s="17">
        <f t="shared" ref="G53:G55" si="16">I53+J53+K53</f>
        <v>0</v>
      </c>
      <c r="H53" s="13"/>
      <c r="I53" s="13"/>
      <c r="J53" s="17"/>
      <c r="K53" s="17"/>
      <c r="L53" s="17">
        <f t="shared" ref="L53:L55" si="17">E53+F53+G53+H53</f>
        <v>106767.69</v>
      </c>
    </row>
    <row r="54" spans="1:14">
      <c r="A54" s="8"/>
      <c r="B54" s="8" t="s">
        <v>149</v>
      </c>
      <c r="C54" s="8">
        <v>340</v>
      </c>
      <c r="D54" s="13">
        <v>20972.39</v>
      </c>
      <c r="E54" s="17"/>
      <c r="F54" s="17"/>
      <c r="G54" s="17">
        <f t="shared" si="16"/>
        <v>0</v>
      </c>
      <c r="H54" s="13"/>
      <c r="I54" s="13"/>
      <c r="J54" s="17"/>
      <c r="K54" s="17"/>
      <c r="L54" s="17"/>
    </row>
    <row r="55" spans="1:14">
      <c r="A55" s="8"/>
      <c r="B55" s="8" t="s">
        <v>121</v>
      </c>
      <c r="C55" s="8">
        <v>340</v>
      </c>
      <c r="D55" s="13">
        <v>46104</v>
      </c>
      <c r="E55" s="17">
        <v>113281.22</v>
      </c>
      <c r="F55" s="17">
        <v>46343</v>
      </c>
      <c r="G55" s="17">
        <f t="shared" si="16"/>
        <v>27488.5</v>
      </c>
      <c r="H55" s="13"/>
      <c r="I55" s="13"/>
      <c r="J55" s="17">
        <f>27488.5</f>
        <v>27488.5</v>
      </c>
      <c r="K55" s="17"/>
      <c r="L55" s="17">
        <f t="shared" si="17"/>
        <v>187112.72</v>
      </c>
    </row>
    <row r="56" spans="1:14">
      <c r="A56" s="11"/>
      <c r="B56" s="11" t="s">
        <v>59</v>
      </c>
      <c r="C56" s="11"/>
      <c r="D56" s="16"/>
      <c r="E56" s="16">
        <f>D8+E9-E10</f>
        <v>3664.0499999998137</v>
      </c>
      <c r="F56" s="16">
        <v>75057.490000000005</v>
      </c>
      <c r="G56" s="16">
        <f>F56+G9-G10</f>
        <v>1075.1100000001024</v>
      </c>
      <c r="H56" s="16"/>
      <c r="I56" s="16">
        <f>F56+I9-I10</f>
        <v>54560.190000000061</v>
      </c>
      <c r="J56" s="16">
        <f>I56+J9-J10</f>
        <v>581.90000000008149</v>
      </c>
      <c r="K56" s="16">
        <f>J56+K9-K10</f>
        <v>1075.1100000000442</v>
      </c>
      <c r="L56" s="16">
        <f>E56+F56+G56+H56</f>
        <v>79796.649999999921</v>
      </c>
    </row>
    <row r="57" spans="1:14">
      <c r="A57" s="14"/>
      <c r="B57" s="14" t="s">
        <v>60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</row>
    <row r="58" spans="1:14">
      <c r="A58" s="14"/>
      <c r="B58" s="14" t="s">
        <v>61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</row>
    <row r="59" spans="1:14">
      <c r="A59" s="65" t="s">
        <v>165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</row>
    <row r="60" spans="1:14">
      <c r="A60" s="65" t="s">
        <v>0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</row>
    <row r="61" spans="1:14">
      <c r="A61" s="63" t="s">
        <v>62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</row>
    <row r="62" spans="1:14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</row>
    <row r="63" spans="1:14">
      <c r="A63" s="53" t="s">
        <v>2</v>
      </c>
      <c r="B63" s="55" t="s">
        <v>3</v>
      </c>
      <c r="C63" s="53" t="s">
        <v>4</v>
      </c>
      <c r="D63" s="59" t="s">
        <v>5</v>
      </c>
      <c r="E63" s="48" t="s">
        <v>63</v>
      </c>
      <c r="F63" s="48" t="s">
        <v>7</v>
      </c>
      <c r="G63" s="48" t="s">
        <v>8</v>
      </c>
      <c r="H63" s="48" t="s">
        <v>9</v>
      </c>
      <c r="I63" s="50" t="s">
        <v>10</v>
      </c>
      <c r="J63" s="51"/>
      <c r="K63" s="51"/>
      <c r="L63" s="52"/>
    </row>
    <row r="64" spans="1:14">
      <c r="A64" s="54"/>
      <c r="B64" s="56"/>
      <c r="C64" s="54"/>
      <c r="D64" s="60"/>
      <c r="E64" s="49"/>
      <c r="F64" s="49"/>
      <c r="G64" s="49"/>
      <c r="H64" s="49"/>
      <c r="I64" s="47" t="s">
        <v>155</v>
      </c>
      <c r="J64" s="47" t="s">
        <v>156</v>
      </c>
      <c r="K64" s="47" t="s">
        <v>157</v>
      </c>
      <c r="L64" s="4" t="s">
        <v>11</v>
      </c>
    </row>
    <row r="65" spans="1:12">
      <c r="A65" s="9"/>
      <c r="B65" s="10"/>
      <c r="C65" s="9"/>
      <c r="D65" s="2" t="s">
        <v>12</v>
      </c>
      <c r="E65" s="2"/>
      <c r="F65" s="2"/>
      <c r="G65" s="2"/>
      <c r="H65" s="2"/>
      <c r="I65" s="4" t="s">
        <v>13</v>
      </c>
      <c r="J65" s="4" t="s">
        <v>14</v>
      </c>
      <c r="K65" s="4" t="s">
        <v>14</v>
      </c>
      <c r="L65" s="4" t="s">
        <v>15</v>
      </c>
    </row>
    <row r="66" spans="1:12">
      <c r="A66" s="5">
        <v>1</v>
      </c>
      <c r="B66" s="5">
        <v>2</v>
      </c>
      <c r="C66" s="5">
        <v>3</v>
      </c>
      <c r="D66" s="5">
        <v>4</v>
      </c>
      <c r="E66" s="5">
        <v>5</v>
      </c>
      <c r="F66" s="5">
        <v>6</v>
      </c>
      <c r="G66" s="5">
        <v>7</v>
      </c>
      <c r="H66" s="5">
        <v>8</v>
      </c>
      <c r="I66" s="5">
        <v>9</v>
      </c>
      <c r="J66" s="5">
        <v>10</v>
      </c>
      <c r="K66" s="5">
        <v>11</v>
      </c>
      <c r="L66" s="5">
        <v>12</v>
      </c>
    </row>
    <row r="67" spans="1:12">
      <c r="A67" s="6">
        <v>1</v>
      </c>
      <c r="B67" s="6" t="s">
        <v>64</v>
      </c>
      <c r="C67" s="6"/>
      <c r="D67" s="12"/>
      <c r="E67" s="12"/>
      <c r="F67" s="12"/>
      <c r="G67" s="12"/>
      <c r="H67" s="12"/>
      <c r="I67" s="12"/>
      <c r="J67" s="12"/>
      <c r="K67" s="12"/>
      <c r="L67" s="6"/>
    </row>
    <row r="68" spans="1:12">
      <c r="A68" s="6">
        <v>2</v>
      </c>
      <c r="B68" s="6" t="s">
        <v>65</v>
      </c>
      <c r="C68" s="6"/>
      <c r="D68" s="12">
        <f>4700000</f>
        <v>4700000</v>
      </c>
      <c r="E68" s="12">
        <v>1101441.6000000001</v>
      </c>
      <c r="F68" s="12">
        <v>1863497.66</v>
      </c>
      <c r="G68" s="12">
        <f>I68+J68+K68</f>
        <v>1278459</v>
      </c>
      <c r="H68" s="12"/>
      <c r="I68" s="12">
        <f>280980+249.68-249.68+42147+105367.5</f>
        <v>428494.5</v>
      </c>
      <c r="J68" s="12">
        <f>33717.6+70245+140490+175612.5+42147+280980</f>
        <v>743192.1</v>
      </c>
      <c r="K68" s="12">
        <f>106772.4</f>
        <v>106772.4</v>
      </c>
      <c r="L68" s="12">
        <f>E68+F68+G68+H68</f>
        <v>4243398.26</v>
      </c>
    </row>
    <row r="69" spans="1:12">
      <c r="A69" s="6"/>
      <c r="B69" s="8" t="s">
        <v>66</v>
      </c>
      <c r="C69" s="6"/>
      <c r="D69" s="12"/>
      <c r="E69" s="12"/>
      <c r="F69" s="12"/>
      <c r="G69" s="12"/>
      <c r="H69" s="12"/>
      <c r="I69" s="12"/>
      <c r="J69" s="16"/>
      <c r="K69" s="12"/>
      <c r="L69" s="12"/>
    </row>
    <row r="70" spans="1:12">
      <c r="A70" s="8" t="s">
        <v>67</v>
      </c>
      <c r="B70" s="8" t="s">
        <v>68</v>
      </c>
      <c r="C70" s="6">
        <v>130</v>
      </c>
      <c r="D70" s="12">
        <f>E70+F70+G70+H70</f>
        <v>0</v>
      </c>
      <c r="E70" s="12">
        <v>0</v>
      </c>
      <c r="F70" s="12"/>
      <c r="G70" s="13"/>
      <c r="H70" s="13"/>
      <c r="I70" s="12"/>
      <c r="J70" s="12"/>
      <c r="K70" s="12"/>
      <c r="L70" s="12">
        <f>E70+F70+G70+H70</f>
        <v>0</v>
      </c>
    </row>
    <row r="71" spans="1:12">
      <c r="A71" s="6"/>
      <c r="B71" s="8" t="s">
        <v>69</v>
      </c>
      <c r="C71" s="6"/>
      <c r="D71" s="12"/>
      <c r="E71" s="13"/>
      <c r="F71" s="13"/>
      <c r="G71" s="13"/>
      <c r="H71" s="13"/>
      <c r="I71" s="12"/>
      <c r="J71" s="20"/>
      <c r="K71" s="26"/>
      <c r="L71" s="12"/>
    </row>
    <row r="72" spans="1:12">
      <c r="A72" s="15"/>
      <c r="B72" s="15" t="s">
        <v>70</v>
      </c>
      <c r="C72" s="15"/>
      <c r="D72" s="12"/>
      <c r="E72" s="17"/>
      <c r="F72" s="17"/>
      <c r="G72" s="17"/>
      <c r="H72" s="17"/>
      <c r="I72" s="17"/>
      <c r="J72" s="19"/>
      <c r="K72" s="19" t="s">
        <v>95</v>
      </c>
      <c r="L72" s="17"/>
    </row>
    <row r="73" spans="1:12">
      <c r="A73" s="6"/>
      <c r="B73" s="8" t="s">
        <v>71</v>
      </c>
      <c r="C73" s="6"/>
      <c r="D73" s="12"/>
      <c r="E73" s="17"/>
      <c r="F73" s="13"/>
      <c r="G73" s="13"/>
      <c r="H73" s="13"/>
      <c r="I73" s="17"/>
      <c r="J73" s="19"/>
      <c r="K73" s="19"/>
      <c r="L73" s="17"/>
    </row>
    <row r="74" spans="1:12">
      <c r="A74" s="6">
        <v>3</v>
      </c>
      <c r="B74" s="6" t="s">
        <v>18</v>
      </c>
      <c r="C74" s="6">
        <v>200</v>
      </c>
      <c r="D74" s="12">
        <f>D75+D79+D108+D112</f>
        <v>4802574.42</v>
      </c>
      <c r="E74" s="12">
        <v>1088929.06</v>
      </c>
      <c r="F74" s="12">
        <v>1838549.48</v>
      </c>
      <c r="G74" s="16">
        <f>I74+J74+K74</f>
        <v>1315902.2</v>
      </c>
      <c r="H74" s="12"/>
      <c r="I74" s="12">
        <f>I75+I79+I108+I112</f>
        <v>459654.56999999995</v>
      </c>
      <c r="J74" s="12">
        <f>J75+J79+J108+J112</f>
        <v>722526.97</v>
      </c>
      <c r="K74" s="12">
        <f>K75+K79+K108+K112</f>
        <v>133720.66</v>
      </c>
      <c r="L74" s="16">
        <f>I74+J74+K74</f>
        <v>1315902.2</v>
      </c>
    </row>
    <row r="75" spans="1:12">
      <c r="A75" s="7" t="s">
        <v>19</v>
      </c>
      <c r="B75" s="6" t="s">
        <v>20</v>
      </c>
      <c r="C75" s="6">
        <v>210</v>
      </c>
      <c r="D75" s="12">
        <f>D76+D77+D78</f>
        <v>1319700</v>
      </c>
      <c r="E75" s="12">
        <v>245976.12</v>
      </c>
      <c r="F75" s="12">
        <v>409670.12</v>
      </c>
      <c r="G75" s="16">
        <f>I75+J75+K75</f>
        <v>580533.55000000005</v>
      </c>
      <c r="H75" s="12"/>
      <c r="I75" s="12">
        <f>I76+I77+I78</f>
        <v>204697.33</v>
      </c>
      <c r="J75" s="12">
        <f>J76+J77+J78</f>
        <v>284857.44</v>
      </c>
      <c r="K75" s="12">
        <f t="shared" ref="K75" si="18">K76+K77+K78</f>
        <v>90978.78</v>
      </c>
      <c r="L75" s="16">
        <f t="shared" ref="L75:L78" si="19">I75+J75+K75</f>
        <v>580533.55000000005</v>
      </c>
    </row>
    <row r="76" spans="1:12">
      <c r="A76" s="11" t="s">
        <v>21</v>
      </c>
      <c r="B76" s="11" t="s">
        <v>22</v>
      </c>
      <c r="C76" s="11">
        <v>211</v>
      </c>
      <c r="D76" s="16">
        <f>837200+150000</f>
        <v>987200</v>
      </c>
      <c r="E76" s="16">
        <v>180550</v>
      </c>
      <c r="F76" s="12">
        <v>305891.05</v>
      </c>
      <c r="G76" s="17">
        <f t="shared" ref="G76:G125" si="20">I76+J76+K76</f>
        <v>434959.32999999996</v>
      </c>
      <c r="H76" s="16"/>
      <c r="I76" s="30">
        <f>8000+171007.33+25690</f>
        <v>204697.33</v>
      </c>
      <c r="J76" s="32">
        <f>9410+2467+158615+24753+15007-15007+15007+7500</f>
        <v>217752</v>
      </c>
      <c r="K76" s="32">
        <f>10273+2237</f>
        <v>12510</v>
      </c>
      <c r="L76" s="17">
        <f t="shared" si="19"/>
        <v>434959.32999999996</v>
      </c>
    </row>
    <row r="77" spans="1:12">
      <c r="A77" s="11" t="s">
        <v>23</v>
      </c>
      <c r="B77" s="11" t="s">
        <v>24</v>
      </c>
      <c r="C77" s="11">
        <v>212</v>
      </c>
      <c r="D77" s="16">
        <f>22500+11700</f>
        <v>34200</v>
      </c>
      <c r="E77" s="16">
        <v>10900</v>
      </c>
      <c r="F77" s="12">
        <v>11400</v>
      </c>
      <c r="G77" s="17">
        <f t="shared" si="20"/>
        <v>11300</v>
      </c>
      <c r="H77" s="16"/>
      <c r="I77" s="30"/>
      <c r="J77" s="30">
        <f>1500+200</f>
        <v>1700</v>
      </c>
      <c r="K77" s="32">
        <v>9600</v>
      </c>
      <c r="L77" s="17">
        <f t="shared" si="19"/>
        <v>11300</v>
      </c>
    </row>
    <row r="78" spans="1:12">
      <c r="A78" s="11" t="s">
        <v>72</v>
      </c>
      <c r="B78" s="11" t="s">
        <v>73</v>
      </c>
      <c r="C78" s="11">
        <v>213</v>
      </c>
      <c r="D78" s="16">
        <f>253000+45300</f>
        <v>298300</v>
      </c>
      <c r="E78" s="16">
        <v>54526.12</v>
      </c>
      <c r="F78" s="12">
        <v>92379.07</v>
      </c>
      <c r="G78" s="17">
        <f t="shared" si="20"/>
        <v>134274.22</v>
      </c>
      <c r="H78" s="16"/>
      <c r="I78" s="30"/>
      <c r="J78" s="32">
        <f>47646.36+11045.28+6280.65+433.15</f>
        <v>65405.440000000002</v>
      </c>
      <c r="K78" s="32">
        <f>50351.36+11672.34+6408.31+436.77</f>
        <v>68868.78</v>
      </c>
      <c r="L78" s="17">
        <f t="shared" si="19"/>
        <v>134274.22</v>
      </c>
    </row>
    <row r="79" spans="1:12">
      <c r="A79" s="6" t="s">
        <v>27</v>
      </c>
      <c r="B79" s="6" t="s">
        <v>28</v>
      </c>
      <c r="C79" s="6">
        <v>220</v>
      </c>
      <c r="D79" s="12">
        <f>D80+D81+D82+D83+D84+D94+D108</f>
        <v>885574.42</v>
      </c>
      <c r="E79" s="12">
        <v>176289.25</v>
      </c>
      <c r="F79" s="12">
        <v>287454.55</v>
      </c>
      <c r="G79" s="16">
        <f t="shared" si="20"/>
        <v>180985.77999999997</v>
      </c>
      <c r="H79" s="12"/>
      <c r="I79" s="12">
        <f>I80+I81+I82+I83+I84+I94</f>
        <v>70145.12999999999</v>
      </c>
      <c r="J79" s="12">
        <f>J80+J81+J82+J83+J84+J94</f>
        <v>101557.65</v>
      </c>
      <c r="K79" s="12">
        <f>K80+K81+K82+K83+K84+K94</f>
        <v>9283</v>
      </c>
      <c r="L79" s="12">
        <f>E79+F79+G79+H79</f>
        <v>644729.57999999996</v>
      </c>
    </row>
    <row r="80" spans="1:12">
      <c r="A80" s="11" t="s">
        <v>29</v>
      </c>
      <c r="B80" s="11" t="s">
        <v>74</v>
      </c>
      <c r="C80" s="11">
        <v>221</v>
      </c>
      <c r="D80" s="16">
        <v>0</v>
      </c>
      <c r="E80" s="12">
        <v>0</v>
      </c>
      <c r="F80" s="12"/>
      <c r="G80" s="17">
        <f t="shared" si="20"/>
        <v>0</v>
      </c>
      <c r="H80" s="16"/>
      <c r="I80" s="16"/>
      <c r="J80" s="16"/>
      <c r="K80" s="16"/>
      <c r="L80" s="17">
        <f t="shared" ref="L80:L83" si="21">E80+F80+G80+H80</f>
        <v>0</v>
      </c>
    </row>
    <row r="81" spans="1:12">
      <c r="A81" s="11" t="s">
        <v>34</v>
      </c>
      <c r="B81" s="11" t="s">
        <v>35</v>
      </c>
      <c r="C81" s="11">
        <v>222</v>
      </c>
      <c r="D81" s="16">
        <f>60000-60000</f>
        <v>0</v>
      </c>
      <c r="E81" s="16">
        <v>0</v>
      </c>
      <c r="F81" s="12"/>
      <c r="G81" s="17">
        <f t="shared" si="20"/>
        <v>0</v>
      </c>
      <c r="H81" s="16"/>
      <c r="I81" s="30"/>
      <c r="J81" s="30"/>
      <c r="K81" s="30"/>
      <c r="L81" s="17">
        <f t="shared" si="21"/>
        <v>0</v>
      </c>
    </row>
    <row r="82" spans="1:12">
      <c r="A82" s="11" t="s">
        <v>36</v>
      </c>
      <c r="B82" s="11" t="s">
        <v>37</v>
      </c>
      <c r="C82" s="11">
        <v>223</v>
      </c>
      <c r="D82" s="16">
        <v>45000</v>
      </c>
      <c r="E82" s="16">
        <v>0</v>
      </c>
      <c r="F82" s="12"/>
      <c r="G82" s="17">
        <f t="shared" si="20"/>
        <v>0</v>
      </c>
      <c r="H82" s="16"/>
      <c r="I82" s="16"/>
      <c r="J82" s="16"/>
      <c r="K82" s="16"/>
      <c r="L82" s="17">
        <f t="shared" si="21"/>
        <v>0</v>
      </c>
    </row>
    <row r="83" spans="1:12">
      <c r="A83" s="11" t="s">
        <v>42</v>
      </c>
      <c r="B83" s="11" t="s">
        <v>75</v>
      </c>
      <c r="C83" s="11">
        <v>224</v>
      </c>
      <c r="D83" s="16">
        <f>42000-27000</f>
        <v>15000</v>
      </c>
      <c r="E83" s="16">
        <v>0</v>
      </c>
      <c r="F83" s="12"/>
      <c r="G83" s="17">
        <f t="shared" si="20"/>
        <v>0</v>
      </c>
      <c r="H83" s="16"/>
      <c r="I83" s="30"/>
      <c r="J83" s="30"/>
      <c r="K83" s="30"/>
      <c r="L83" s="17">
        <f t="shared" si="21"/>
        <v>0</v>
      </c>
    </row>
    <row r="84" spans="1:12">
      <c r="A84" s="11" t="s">
        <v>43</v>
      </c>
      <c r="B84" s="11" t="s">
        <v>44</v>
      </c>
      <c r="C84" s="11">
        <v>225</v>
      </c>
      <c r="D84" s="16">
        <f>D85+D86+D87+D88+D89+D90+D91+D93+D92</f>
        <v>284000</v>
      </c>
      <c r="E84" s="12">
        <v>54802.95</v>
      </c>
      <c r="F84" s="12">
        <v>120231.16</v>
      </c>
      <c r="G84" s="16">
        <f t="shared" si="20"/>
        <v>39211.119999999995</v>
      </c>
      <c r="H84" s="12"/>
      <c r="I84" s="31">
        <f>I85+I86+I87+I88+I89+I90+I91+I93</f>
        <v>33510.119999999995</v>
      </c>
      <c r="J84" s="31">
        <f>J85+J86+J87+J88+J89+J90+J91+J93</f>
        <v>3318</v>
      </c>
      <c r="K84" s="31">
        <f>K85+K86+K87+K88+K89+K90+K91+K93+K92</f>
        <v>2383</v>
      </c>
      <c r="L84" s="12">
        <f>E84+F84+G84+H84</f>
        <v>214245.22999999998</v>
      </c>
    </row>
    <row r="85" spans="1:12">
      <c r="A85" s="8"/>
      <c r="B85" s="8" t="s">
        <v>76</v>
      </c>
      <c r="C85" s="8">
        <v>225</v>
      </c>
      <c r="D85" s="13">
        <f>90000-45000</f>
        <v>45000</v>
      </c>
      <c r="E85" s="17">
        <v>30456.959999999999</v>
      </c>
      <c r="F85" s="17">
        <v>49696.1</v>
      </c>
      <c r="G85" s="17">
        <f t="shared" si="20"/>
        <v>26675.119999999999</v>
      </c>
      <c r="H85" s="13"/>
      <c r="I85" s="13">
        <f>18258.5+4617.25+2729+1070.37</f>
        <v>26675.119999999999</v>
      </c>
      <c r="J85" s="17"/>
      <c r="K85" s="13"/>
      <c r="L85" s="17">
        <f t="shared" ref="L85:L93" si="22">E85+F85+G85+H85</f>
        <v>106828.18</v>
      </c>
    </row>
    <row r="86" spans="1:12">
      <c r="A86" s="8"/>
      <c r="B86" s="8" t="s">
        <v>124</v>
      </c>
      <c r="C86" s="8">
        <v>225</v>
      </c>
      <c r="D86" s="13">
        <v>40000</v>
      </c>
      <c r="E86" s="17">
        <v>5922</v>
      </c>
      <c r="F86" s="17">
        <v>4766</v>
      </c>
      <c r="G86" s="17">
        <f t="shared" si="20"/>
        <v>4766</v>
      </c>
      <c r="H86" s="13"/>
      <c r="I86" s="13"/>
      <c r="J86" s="17">
        <f>2383</f>
        <v>2383</v>
      </c>
      <c r="K86" s="13">
        <f>2383</f>
        <v>2383</v>
      </c>
      <c r="L86" s="17">
        <f t="shared" si="22"/>
        <v>15454</v>
      </c>
    </row>
    <row r="87" spans="1:12">
      <c r="A87" s="8"/>
      <c r="B87" s="8" t="s">
        <v>77</v>
      </c>
      <c r="C87" s="8">
        <v>225</v>
      </c>
      <c r="D87" s="13">
        <v>29000</v>
      </c>
      <c r="E87" s="17">
        <v>0</v>
      </c>
      <c r="F87" s="17">
        <v>13600</v>
      </c>
      <c r="G87" s="17">
        <f t="shared" si="20"/>
        <v>0</v>
      </c>
      <c r="H87" s="13"/>
      <c r="I87" s="13"/>
      <c r="J87" s="17"/>
      <c r="K87" s="13"/>
      <c r="L87" s="17">
        <f t="shared" si="22"/>
        <v>13600</v>
      </c>
    </row>
    <row r="88" spans="1:12">
      <c r="A88" s="8"/>
      <c r="B88" s="8" t="s">
        <v>151</v>
      </c>
      <c r="C88" s="8">
        <v>225</v>
      </c>
      <c r="D88" s="13">
        <v>40000</v>
      </c>
      <c r="E88" s="17">
        <v>8652.99</v>
      </c>
      <c r="F88" s="17">
        <v>9042.06</v>
      </c>
      <c r="G88" s="17">
        <f t="shared" si="20"/>
        <v>5000</v>
      </c>
      <c r="H88" s="13"/>
      <c r="I88" s="13">
        <f>5000</f>
        <v>5000</v>
      </c>
      <c r="J88" s="17"/>
      <c r="K88" s="13"/>
      <c r="L88" s="17">
        <f t="shared" si="22"/>
        <v>22695.05</v>
      </c>
    </row>
    <row r="89" spans="1:12">
      <c r="A89" s="8"/>
      <c r="B89" s="8" t="s">
        <v>158</v>
      </c>
      <c r="C89" s="8">
        <v>225</v>
      </c>
      <c r="D89" s="13">
        <v>30000</v>
      </c>
      <c r="E89" s="17">
        <v>1350</v>
      </c>
      <c r="F89" s="17">
        <v>7017</v>
      </c>
      <c r="G89" s="17">
        <f t="shared" si="20"/>
        <v>2770</v>
      </c>
      <c r="H89" s="13"/>
      <c r="I89" s="13">
        <f>900+935</f>
        <v>1835</v>
      </c>
      <c r="J89" s="17">
        <f>935</f>
        <v>935</v>
      </c>
      <c r="K89" s="13"/>
      <c r="L89" s="17">
        <f t="shared" si="22"/>
        <v>11137</v>
      </c>
    </row>
    <row r="90" spans="1:12">
      <c r="A90" s="8"/>
      <c r="B90" s="8" t="s">
        <v>105</v>
      </c>
      <c r="C90" s="8">
        <v>225</v>
      </c>
      <c r="D90" s="13">
        <v>20000</v>
      </c>
      <c r="E90" s="17">
        <v>0</v>
      </c>
      <c r="F90" s="17"/>
      <c r="G90" s="17">
        <f t="shared" si="20"/>
        <v>0</v>
      </c>
      <c r="H90" s="13"/>
      <c r="I90" s="13"/>
      <c r="J90" s="17"/>
      <c r="K90" s="13"/>
      <c r="L90" s="17">
        <f t="shared" si="22"/>
        <v>0</v>
      </c>
    </row>
    <row r="91" spans="1:12">
      <c r="A91" s="8"/>
      <c r="B91" s="8" t="s">
        <v>80</v>
      </c>
      <c r="C91" s="8">
        <v>225</v>
      </c>
      <c r="D91" s="13">
        <v>20000</v>
      </c>
      <c r="E91" s="17">
        <v>8421</v>
      </c>
      <c r="F91" s="17">
        <v>18500</v>
      </c>
      <c r="G91" s="17">
        <f t="shared" si="20"/>
        <v>0</v>
      </c>
      <c r="H91" s="13"/>
      <c r="I91" s="13"/>
      <c r="J91" s="17"/>
      <c r="K91" s="13"/>
      <c r="L91" s="17">
        <f t="shared" si="22"/>
        <v>26921</v>
      </c>
    </row>
    <row r="92" spans="1:12">
      <c r="A92" s="8"/>
      <c r="B92" s="8" t="s">
        <v>153</v>
      </c>
      <c r="C92" s="8">
        <v>225</v>
      </c>
      <c r="D92" s="13">
        <v>30000</v>
      </c>
      <c r="E92" s="17">
        <v>0</v>
      </c>
      <c r="F92" s="17">
        <v>17610</v>
      </c>
      <c r="G92" s="17">
        <f t="shared" si="20"/>
        <v>0</v>
      </c>
      <c r="H92" s="13"/>
      <c r="I92" s="13"/>
      <c r="J92" s="17"/>
      <c r="K92" s="13"/>
      <c r="L92" s="17">
        <f t="shared" si="22"/>
        <v>17610</v>
      </c>
    </row>
    <row r="93" spans="1:12">
      <c r="A93" s="8"/>
      <c r="B93" s="8" t="s">
        <v>104</v>
      </c>
      <c r="C93" s="8">
        <v>225</v>
      </c>
      <c r="D93" s="13">
        <v>30000</v>
      </c>
      <c r="E93" s="17">
        <v>0</v>
      </c>
      <c r="F93" s="17"/>
      <c r="G93" s="17">
        <f t="shared" si="20"/>
        <v>0</v>
      </c>
      <c r="H93" s="13"/>
      <c r="I93" s="13"/>
      <c r="J93" s="17"/>
      <c r="K93" s="13"/>
      <c r="L93" s="17">
        <f t="shared" si="22"/>
        <v>0</v>
      </c>
    </row>
    <row r="94" spans="1:12">
      <c r="A94" s="11" t="s">
        <v>45</v>
      </c>
      <c r="B94" s="11" t="s">
        <v>46</v>
      </c>
      <c r="C94" s="11">
        <v>226</v>
      </c>
      <c r="D94" s="16">
        <f>D95+D96+D97+D98+D99+D100+D101+D102+D103+D104+D105+D106+D107</f>
        <v>439000</v>
      </c>
      <c r="E94" s="12">
        <v>121486.3</v>
      </c>
      <c r="F94" s="12">
        <v>167223.39000000001</v>
      </c>
      <c r="G94" s="17">
        <f t="shared" si="20"/>
        <v>141774.65999999997</v>
      </c>
      <c r="H94" s="16"/>
      <c r="I94" s="30">
        <f>I95+I96+I97+I98+I99+I100+I101+I102+I103+I104+I105+I106+I107</f>
        <v>36635.009999999995</v>
      </c>
      <c r="J94" s="30">
        <f>J95+J96+J97+J98+J99+J100+J101+J102+J103+J104+J105+J106+J107</f>
        <v>98239.65</v>
      </c>
      <c r="K94" s="30">
        <f>K95+K96+K97+K98+K99+K100+K101+K102+K103+K104+K105+K106+K107</f>
        <v>6900</v>
      </c>
      <c r="L94" s="12">
        <f>E94+F94+G94+H94</f>
        <v>430484.35</v>
      </c>
    </row>
    <row r="95" spans="1:12" ht="27" customHeight="1">
      <c r="A95" s="8"/>
      <c r="B95" s="28" t="s">
        <v>81</v>
      </c>
      <c r="C95" s="8">
        <v>226</v>
      </c>
      <c r="D95" s="13">
        <v>40000</v>
      </c>
      <c r="E95" s="17">
        <v>9971.32</v>
      </c>
      <c r="F95" s="17">
        <v>104980.39</v>
      </c>
      <c r="G95" s="17">
        <f t="shared" si="20"/>
        <v>51247.66</v>
      </c>
      <c r="H95" s="13"/>
      <c r="I95" s="13">
        <f>11974+2536+4402.2+580.28+40.02+1020.51+9004+1346</f>
        <v>30903.01</v>
      </c>
      <c r="J95" s="17">
        <f>12006+1794+5313+1231.65</f>
        <v>20344.650000000001</v>
      </c>
      <c r="K95" s="13"/>
      <c r="L95" s="17">
        <f t="shared" ref="L95:L107" si="23">E95+F95+G95+H95</f>
        <v>166199.37</v>
      </c>
    </row>
    <row r="96" spans="1:12">
      <c r="A96" s="8"/>
      <c r="B96" s="8" t="s">
        <v>126</v>
      </c>
      <c r="C96" s="8">
        <v>226</v>
      </c>
      <c r="D96" s="13">
        <v>45000</v>
      </c>
      <c r="E96" s="17">
        <v>3412.38</v>
      </c>
      <c r="F96" s="17"/>
      <c r="G96" s="17">
        <f t="shared" si="20"/>
        <v>3600</v>
      </c>
      <c r="H96" s="13"/>
      <c r="I96" s="13"/>
      <c r="J96" s="17">
        <f>3600</f>
        <v>3600</v>
      </c>
      <c r="K96" s="13"/>
      <c r="L96" s="17">
        <f t="shared" si="23"/>
        <v>7012.38</v>
      </c>
    </row>
    <row r="97" spans="1:12">
      <c r="A97" s="8"/>
      <c r="B97" s="8" t="s">
        <v>48</v>
      </c>
      <c r="C97" s="8">
        <v>226</v>
      </c>
      <c r="D97" s="13">
        <v>10000</v>
      </c>
      <c r="E97" s="17">
        <v>0</v>
      </c>
      <c r="F97" s="17">
        <v>6600</v>
      </c>
      <c r="G97" s="17">
        <f t="shared" si="20"/>
        <v>0</v>
      </c>
      <c r="H97" s="13"/>
      <c r="I97" s="13"/>
      <c r="J97" s="17"/>
      <c r="K97" s="13"/>
      <c r="L97" s="17">
        <f t="shared" si="23"/>
        <v>6600</v>
      </c>
    </row>
    <row r="98" spans="1:12">
      <c r="A98" s="8"/>
      <c r="B98" s="8" t="s">
        <v>82</v>
      </c>
      <c r="C98" s="8">
        <v>226</v>
      </c>
      <c r="D98" s="13">
        <v>77000</v>
      </c>
      <c r="E98" s="17">
        <v>2200</v>
      </c>
      <c r="F98" s="17"/>
      <c r="G98" s="17">
        <f t="shared" si="20"/>
        <v>24800</v>
      </c>
      <c r="H98" s="13"/>
      <c r="I98" s="13"/>
      <c r="J98" s="17">
        <f>17900</f>
        <v>17900</v>
      </c>
      <c r="K98" s="13">
        <f>6900</f>
        <v>6900</v>
      </c>
      <c r="L98" s="17">
        <f t="shared" si="23"/>
        <v>27000</v>
      </c>
    </row>
    <row r="99" spans="1:12">
      <c r="A99" s="8"/>
      <c r="B99" s="8" t="s">
        <v>83</v>
      </c>
      <c r="C99" s="8">
        <v>226</v>
      </c>
      <c r="D99" s="13">
        <v>20000</v>
      </c>
      <c r="E99" s="17">
        <v>0</v>
      </c>
      <c r="F99" s="17"/>
      <c r="G99" s="17">
        <f t="shared" si="20"/>
        <v>0</v>
      </c>
      <c r="H99" s="13"/>
      <c r="I99" s="13"/>
      <c r="J99" s="17"/>
      <c r="K99" s="13"/>
      <c r="L99" s="17">
        <f t="shared" si="23"/>
        <v>0</v>
      </c>
    </row>
    <row r="100" spans="1:12">
      <c r="A100" s="8"/>
      <c r="B100" s="8" t="s">
        <v>145</v>
      </c>
      <c r="C100" s="8">
        <v>226</v>
      </c>
      <c r="D100" s="13">
        <v>40000</v>
      </c>
      <c r="E100" s="17">
        <v>89913.600000000006</v>
      </c>
      <c r="F100" s="17">
        <v>38250</v>
      </c>
      <c r="G100" s="17">
        <f t="shared" si="20"/>
        <v>53347</v>
      </c>
      <c r="H100" s="13"/>
      <c r="I100" s="13">
        <f>1200</f>
        <v>1200</v>
      </c>
      <c r="J100" s="17">
        <f>10000+42147</f>
        <v>52147</v>
      </c>
      <c r="K100" s="13"/>
      <c r="L100" s="17">
        <f t="shared" si="23"/>
        <v>181510.6</v>
      </c>
    </row>
    <row r="101" spans="1:12">
      <c r="A101" s="8"/>
      <c r="B101" s="8" t="s">
        <v>106</v>
      </c>
      <c r="C101" s="8">
        <v>226</v>
      </c>
      <c r="D101" s="13">
        <v>40000</v>
      </c>
      <c r="E101" s="17">
        <v>0</v>
      </c>
      <c r="F101" s="17"/>
      <c r="G101" s="17">
        <f t="shared" si="20"/>
        <v>0</v>
      </c>
      <c r="H101" s="13"/>
      <c r="I101" s="13"/>
      <c r="J101" s="17"/>
      <c r="K101" s="13"/>
      <c r="L101" s="17">
        <f t="shared" si="23"/>
        <v>0</v>
      </c>
    </row>
    <row r="102" spans="1:12">
      <c r="A102" s="8"/>
      <c r="B102" s="8" t="s">
        <v>85</v>
      </c>
      <c r="C102" s="8">
        <v>226</v>
      </c>
      <c r="D102" s="13">
        <v>10000</v>
      </c>
      <c r="E102" s="17">
        <v>0</v>
      </c>
      <c r="F102" s="17"/>
      <c r="G102" s="17">
        <f t="shared" si="20"/>
        <v>0</v>
      </c>
      <c r="H102" s="13"/>
      <c r="I102" s="13"/>
      <c r="J102" s="17"/>
      <c r="K102" s="13"/>
      <c r="L102" s="17">
        <f t="shared" si="23"/>
        <v>0</v>
      </c>
    </row>
    <row r="103" spans="1:12">
      <c r="A103" s="8"/>
      <c r="B103" s="8" t="s">
        <v>108</v>
      </c>
      <c r="C103" s="8">
        <v>226</v>
      </c>
      <c r="D103" s="13">
        <v>50000</v>
      </c>
      <c r="E103" s="17">
        <v>0</v>
      </c>
      <c r="F103" s="17"/>
      <c r="G103" s="17">
        <f t="shared" si="20"/>
        <v>0</v>
      </c>
      <c r="H103" s="13"/>
      <c r="I103" s="13"/>
      <c r="J103" s="17"/>
      <c r="K103" s="13"/>
      <c r="L103" s="17">
        <f t="shared" si="23"/>
        <v>0</v>
      </c>
    </row>
    <row r="104" spans="1:12">
      <c r="A104" s="8"/>
      <c r="B104" s="8" t="s">
        <v>107</v>
      </c>
      <c r="C104" s="8">
        <v>226</v>
      </c>
      <c r="D104" s="13">
        <v>3500</v>
      </c>
      <c r="E104" s="17">
        <v>0</v>
      </c>
      <c r="F104" s="17">
        <v>10800</v>
      </c>
      <c r="G104" s="17">
        <f t="shared" si="20"/>
        <v>0</v>
      </c>
      <c r="H104" s="13"/>
      <c r="I104" s="13"/>
      <c r="J104" s="17"/>
      <c r="K104" s="13"/>
      <c r="L104" s="17">
        <f t="shared" si="23"/>
        <v>10800</v>
      </c>
    </row>
    <row r="105" spans="1:12">
      <c r="A105" s="8"/>
      <c r="B105" s="8" t="s">
        <v>125</v>
      </c>
      <c r="C105" s="8">
        <v>226</v>
      </c>
      <c r="D105" s="13">
        <v>50000</v>
      </c>
      <c r="E105" s="17">
        <v>729</v>
      </c>
      <c r="F105" s="17">
        <v>1863</v>
      </c>
      <c r="G105" s="17">
        <f t="shared" si="20"/>
        <v>4050</v>
      </c>
      <c r="H105" s="13"/>
      <c r="I105" s="13">
        <v>2167</v>
      </c>
      <c r="J105" s="17">
        <f>1883</f>
        <v>1883</v>
      </c>
      <c r="K105" s="13"/>
      <c r="L105" s="17">
        <f t="shared" si="23"/>
        <v>6642</v>
      </c>
    </row>
    <row r="106" spans="1:12">
      <c r="A106" s="8"/>
      <c r="B106" s="8" t="s">
        <v>78</v>
      </c>
      <c r="C106" s="8">
        <v>226</v>
      </c>
      <c r="D106" s="13">
        <v>3500</v>
      </c>
      <c r="E106" s="17">
        <v>0</v>
      </c>
      <c r="F106" s="17"/>
      <c r="G106" s="17">
        <f t="shared" si="20"/>
        <v>0</v>
      </c>
      <c r="H106" s="13"/>
      <c r="I106" s="13"/>
      <c r="J106" s="17"/>
      <c r="K106" s="13"/>
      <c r="L106" s="17">
        <f t="shared" si="23"/>
        <v>0</v>
      </c>
    </row>
    <row r="107" spans="1:12" ht="23.25">
      <c r="A107" s="8"/>
      <c r="B107" s="28" t="s">
        <v>120</v>
      </c>
      <c r="C107" s="8">
        <v>226</v>
      </c>
      <c r="D107" s="13">
        <v>50000</v>
      </c>
      <c r="E107" s="17">
        <v>15260</v>
      </c>
      <c r="F107" s="17">
        <v>4730</v>
      </c>
      <c r="G107" s="17">
        <f t="shared" si="20"/>
        <v>4730</v>
      </c>
      <c r="H107" s="13"/>
      <c r="I107" s="13">
        <f>2365</f>
        <v>2365</v>
      </c>
      <c r="J107" s="17">
        <f>2365</f>
        <v>2365</v>
      </c>
      <c r="K107" s="13"/>
      <c r="L107" s="17">
        <f t="shared" si="23"/>
        <v>24720</v>
      </c>
    </row>
    <row r="108" spans="1:12">
      <c r="A108" s="6" t="s">
        <v>50</v>
      </c>
      <c r="B108" s="6" t="s">
        <v>51</v>
      </c>
      <c r="C108" s="6">
        <v>290</v>
      </c>
      <c r="D108" s="16">
        <f>D109+D110+D111</f>
        <v>102574.42</v>
      </c>
      <c r="E108" s="12">
        <v>64588</v>
      </c>
      <c r="F108" s="12">
        <v>31777.16</v>
      </c>
      <c r="G108" s="16">
        <f t="shared" si="20"/>
        <v>0</v>
      </c>
      <c r="H108" s="16"/>
      <c r="I108" s="30">
        <f>I109+I110+I111</f>
        <v>0</v>
      </c>
      <c r="J108" s="30">
        <f t="shared" ref="J108:K108" si="24">J109+J110+J111</f>
        <v>0</v>
      </c>
      <c r="K108" s="30">
        <f t="shared" si="24"/>
        <v>0</v>
      </c>
      <c r="L108" s="16">
        <f>E108+F108+G108+H108</f>
        <v>96365.16</v>
      </c>
    </row>
    <row r="109" spans="1:12">
      <c r="A109" s="6"/>
      <c r="B109" s="15" t="s">
        <v>110</v>
      </c>
      <c r="C109" s="15">
        <v>290</v>
      </c>
      <c r="D109" s="17">
        <v>7500</v>
      </c>
      <c r="E109" s="17">
        <v>0</v>
      </c>
      <c r="F109" s="17"/>
      <c r="G109" s="17">
        <f t="shared" si="20"/>
        <v>0</v>
      </c>
      <c r="H109" s="16"/>
      <c r="I109" s="33"/>
      <c r="J109" s="33"/>
      <c r="K109" s="33"/>
      <c r="L109" s="17">
        <f t="shared" ref="L109:L111" si="25">E109+F109+G109+H109</f>
        <v>0</v>
      </c>
    </row>
    <row r="110" spans="1:12" ht="23.25">
      <c r="A110" s="6"/>
      <c r="B110" s="40" t="s">
        <v>132</v>
      </c>
      <c r="C110" s="15">
        <v>290</v>
      </c>
      <c r="D110" s="17">
        <f>65074.42-72574.42+72574.42</f>
        <v>65074.42</v>
      </c>
      <c r="E110" s="17">
        <v>64588</v>
      </c>
      <c r="F110" s="17">
        <v>1777.16</v>
      </c>
      <c r="G110" s="17">
        <f t="shared" si="20"/>
        <v>0</v>
      </c>
      <c r="H110" s="17"/>
      <c r="I110" s="42"/>
      <c r="J110" s="42">
        <f>234.71-234.71</f>
        <v>0</v>
      </c>
      <c r="K110" s="42"/>
      <c r="L110" s="17">
        <f t="shared" si="25"/>
        <v>66365.16</v>
      </c>
    </row>
    <row r="111" spans="1:12">
      <c r="A111" s="15"/>
      <c r="B111" s="15" t="s">
        <v>86</v>
      </c>
      <c r="C111" s="15">
        <v>290</v>
      </c>
      <c r="D111" s="17">
        <v>30000</v>
      </c>
      <c r="E111" s="17">
        <v>0</v>
      </c>
      <c r="F111" s="17">
        <v>30000</v>
      </c>
      <c r="G111" s="17">
        <f t="shared" si="20"/>
        <v>0</v>
      </c>
      <c r="H111" s="17"/>
      <c r="I111" s="17"/>
      <c r="J111" s="17"/>
      <c r="K111" s="17"/>
      <c r="L111" s="17">
        <f t="shared" si="25"/>
        <v>30000</v>
      </c>
    </row>
    <row r="112" spans="1:12">
      <c r="A112" s="6" t="s">
        <v>53</v>
      </c>
      <c r="B112" s="6" t="s">
        <v>54</v>
      </c>
      <c r="C112" s="6">
        <v>300</v>
      </c>
      <c r="D112" s="12">
        <f>D113+D119</f>
        <v>2494725.58</v>
      </c>
      <c r="E112" s="12">
        <v>602075.68999999994</v>
      </c>
      <c r="F112" s="12">
        <v>1109647.6499999999</v>
      </c>
      <c r="G112" s="16">
        <f t="shared" si="20"/>
        <v>554382.86999999988</v>
      </c>
      <c r="H112" s="12"/>
      <c r="I112" s="12">
        <f>I113+I119</f>
        <v>184812.11</v>
      </c>
      <c r="J112" s="12">
        <f>J113+J119</f>
        <v>336111.87999999995</v>
      </c>
      <c r="K112" s="12">
        <f>K113+K119</f>
        <v>33458.879999999997</v>
      </c>
      <c r="L112" s="12">
        <f>E112+F112+G112+H112</f>
        <v>2266106.21</v>
      </c>
    </row>
    <row r="113" spans="1:12">
      <c r="A113" s="11" t="s">
        <v>55</v>
      </c>
      <c r="B113" s="11" t="s">
        <v>87</v>
      </c>
      <c r="C113" s="11">
        <v>310</v>
      </c>
      <c r="D113" s="16">
        <f>D114+D115+D118+D116+D117</f>
        <v>125000</v>
      </c>
      <c r="E113" s="16">
        <v>0</v>
      </c>
      <c r="F113" s="16">
        <v>54494</v>
      </c>
      <c r="G113" s="17">
        <f t="shared" si="20"/>
        <v>12770</v>
      </c>
      <c r="H113" s="16"/>
      <c r="I113" s="30"/>
      <c r="J113" s="30">
        <f>J114+J115+J116+J117+J118</f>
        <v>12770</v>
      </c>
      <c r="K113" s="30">
        <f>K114+K115+K118</f>
        <v>0</v>
      </c>
      <c r="L113" s="12">
        <f>E113+F113+G113+H113</f>
        <v>67264</v>
      </c>
    </row>
    <row r="114" spans="1:12">
      <c r="A114" s="11"/>
      <c r="B114" s="15" t="s">
        <v>136</v>
      </c>
      <c r="C114" s="11">
        <v>310</v>
      </c>
      <c r="D114" s="17">
        <f>50000-15000</f>
        <v>35000</v>
      </c>
      <c r="E114" s="17">
        <v>0</v>
      </c>
      <c r="F114" s="17">
        <v>8800</v>
      </c>
      <c r="G114" s="17">
        <f t="shared" si="20"/>
        <v>0</v>
      </c>
      <c r="H114" s="16"/>
      <c r="I114" s="33"/>
      <c r="J114" s="42"/>
      <c r="K114" s="33"/>
      <c r="L114" s="17">
        <f t="shared" ref="L114:L118" si="26">E114+F114+G114+H114</f>
        <v>8800</v>
      </c>
    </row>
    <row r="115" spans="1:12">
      <c r="A115" s="11"/>
      <c r="B115" s="15" t="s">
        <v>144</v>
      </c>
      <c r="C115" s="11">
        <v>310</v>
      </c>
      <c r="D115" s="17">
        <f>95000-50000-15000</f>
        <v>30000</v>
      </c>
      <c r="E115" s="17">
        <v>0</v>
      </c>
      <c r="F115" s="17">
        <v>23669</v>
      </c>
      <c r="G115" s="17">
        <f t="shared" si="20"/>
        <v>0</v>
      </c>
      <c r="H115" s="16"/>
      <c r="I115" s="33"/>
      <c r="J115" s="42"/>
      <c r="K115" s="33"/>
      <c r="L115" s="17">
        <f t="shared" si="26"/>
        <v>23669</v>
      </c>
    </row>
    <row r="116" spans="1:12">
      <c r="A116" s="11"/>
      <c r="B116" s="15" t="s">
        <v>162</v>
      </c>
      <c r="C116" s="11">
        <v>310</v>
      </c>
      <c r="D116" s="17">
        <v>20000</v>
      </c>
      <c r="E116" s="17"/>
      <c r="F116" s="17"/>
      <c r="G116" s="17">
        <f>I116+J116+K116</f>
        <v>12770</v>
      </c>
      <c r="H116" s="16"/>
      <c r="I116" s="33"/>
      <c r="J116" s="42">
        <v>12770</v>
      </c>
      <c r="K116" s="33"/>
      <c r="L116" s="17">
        <f>E116+F116+G116+H116</f>
        <v>12770</v>
      </c>
    </row>
    <row r="117" spans="1:12">
      <c r="A117" s="11"/>
      <c r="B117" s="15" t="s">
        <v>163</v>
      </c>
      <c r="C117" s="11">
        <v>310</v>
      </c>
      <c r="D117" s="17">
        <f>20000-10000</f>
        <v>10000</v>
      </c>
      <c r="E117" s="17"/>
      <c r="F117" s="17"/>
      <c r="G117" s="17">
        <f>I117+J117+K117</f>
        <v>0</v>
      </c>
      <c r="H117" s="16"/>
      <c r="I117" s="33"/>
      <c r="J117" s="42"/>
      <c r="K117" s="33"/>
      <c r="L117" s="17">
        <f t="shared" si="26"/>
        <v>0</v>
      </c>
    </row>
    <row r="118" spans="1:12">
      <c r="A118" s="11"/>
      <c r="B118" s="15" t="s">
        <v>154</v>
      </c>
      <c r="C118" s="11">
        <v>310</v>
      </c>
      <c r="D118" s="17">
        <f>60000-30000</f>
        <v>30000</v>
      </c>
      <c r="E118" s="17">
        <v>0</v>
      </c>
      <c r="F118" s="17">
        <v>22025</v>
      </c>
      <c r="G118" s="17">
        <f t="shared" si="20"/>
        <v>0</v>
      </c>
      <c r="H118" s="16"/>
      <c r="I118" s="33"/>
      <c r="J118" s="33"/>
      <c r="K118" s="42"/>
      <c r="L118" s="17">
        <f t="shared" si="26"/>
        <v>22025</v>
      </c>
    </row>
    <row r="119" spans="1:12">
      <c r="A119" s="11" t="s">
        <v>57</v>
      </c>
      <c r="B119" s="11" t="s">
        <v>88</v>
      </c>
      <c r="C119" s="11">
        <v>340</v>
      </c>
      <c r="D119" s="16">
        <f>D120+D121+D122+D123+D124+D125</f>
        <v>2369725.58</v>
      </c>
      <c r="E119" s="12">
        <v>602075.68999999994</v>
      </c>
      <c r="F119" s="12">
        <v>1055153.6499999999</v>
      </c>
      <c r="G119" s="16">
        <f t="shared" si="20"/>
        <v>541612.86999999988</v>
      </c>
      <c r="H119" s="16"/>
      <c r="I119" s="30">
        <f>I120+I121+I122+I123+I124+I125</f>
        <v>184812.11</v>
      </c>
      <c r="J119" s="30">
        <f>J120+J121+J122+J123+J124+J125</f>
        <v>323341.87999999995</v>
      </c>
      <c r="K119" s="30">
        <f t="shared" ref="K119" si="27">K120+K121+K122+K123+K124+K125</f>
        <v>33458.879999999997</v>
      </c>
      <c r="L119" s="12">
        <f>E119+F119+G119+H119</f>
        <v>2198842.21</v>
      </c>
    </row>
    <row r="120" spans="1:12">
      <c r="A120" s="8"/>
      <c r="B120" s="8" t="s">
        <v>89</v>
      </c>
      <c r="C120" s="8">
        <v>340</v>
      </c>
      <c r="D120" s="13">
        <v>1804725.58</v>
      </c>
      <c r="E120" s="17">
        <v>496609.13</v>
      </c>
      <c r="F120" s="17">
        <v>613834.67000000004</v>
      </c>
      <c r="G120" s="17">
        <f t="shared" si="20"/>
        <v>439083.56999999995</v>
      </c>
      <c r="H120" s="13"/>
      <c r="I120" s="13">
        <f>17313.57+37500+2874.1+37075+20800.29+9001.27+1773.7+10615.68</f>
        <v>136953.60999999999</v>
      </c>
      <c r="J120" s="17">
        <f>25396.67+70276.6+9600+9212.01+18657.24+2182.4+1729.97+6126+16618+39819.7+4581+14699.92+51211.77</f>
        <v>270111.27999999997</v>
      </c>
      <c r="K120" s="13">
        <f>7409.36+16802.4+7806.92</f>
        <v>32018.68</v>
      </c>
      <c r="L120" s="17">
        <f>E120+F120+G120+H120</f>
        <v>1549527.37</v>
      </c>
    </row>
    <row r="121" spans="1:12">
      <c r="A121" s="8"/>
      <c r="B121" s="8" t="s">
        <v>116</v>
      </c>
      <c r="C121" s="8">
        <v>340</v>
      </c>
      <c r="D121" s="13">
        <v>210000</v>
      </c>
      <c r="E121" s="17">
        <v>27720.86</v>
      </c>
      <c r="F121" s="17">
        <v>192121.45</v>
      </c>
      <c r="G121" s="17">
        <f t="shared" si="20"/>
        <v>32912.5</v>
      </c>
      <c r="H121" s="13"/>
      <c r="I121" s="13">
        <f>8678.5</f>
        <v>8678.5</v>
      </c>
      <c r="J121" s="17">
        <f>24234</f>
        <v>24234</v>
      </c>
      <c r="K121" s="13"/>
      <c r="L121" s="17">
        <f t="shared" ref="L121:L124" si="28">E121+F121+G121+H121</f>
        <v>252754.81</v>
      </c>
    </row>
    <row r="122" spans="1:12">
      <c r="A122" s="8"/>
      <c r="B122" s="8" t="s">
        <v>90</v>
      </c>
      <c r="C122" s="8">
        <v>340</v>
      </c>
      <c r="D122" s="13">
        <v>120000</v>
      </c>
      <c r="E122" s="17">
        <v>46889</v>
      </c>
      <c r="F122" s="17">
        <v>169197.95</v>
      </c>
      <c r="G122" s="17">
        <f t="shared" si="20"/>
        <v>18523</v>
      </c>
      <c r="H122" s="13"/>
      <c r="I122" s="13"/>
      <c r="J122" s="17">
        <f>18523</f>
        <v>18523</v>
      </c>
      <c r="K122" s="13"/>
      <c r="L122" s="17">
        <f t="shared" si="28"/>
        <v>234609.95</v>
      </c>
    </row>
    <row r="123" spans="1:12">
      <c r="A123" s="8"/>
      <c r="B123" s="8" t="s">
        <v>91</v>
      </c>
      <c r="C123" s="8">
        <v>340</v>
      </c>
      <c r="D123" s="13">
        <v>50000</v>
      </c>
      <c r="E123" s="17">
        <v>5205</v>
      </c>
      <c r="F123" s="17"/>
      <c r="G123" s="17">
        <f t="shared" si="20"/>
        <v>6710</v>
      </c>
      <c r="H123" s="13"/>
      <c r="I123" s="13">
        <f>6710</f>
        <v>6710</v>
      </c>
      <c r="J123" s="17"/>
      <c r="K123" s="13"/>
      <c r="L123" s="17">
        <f t="shared" si="28"/>
        <v>11915</v>
      </c>
    </row>
    <row r="124" spans="1:12">
      <c r="A124" s="8"/>
      <c r="B124" s="8" t="s">
        <v>92</v>
      </c>
      <c r="C124" s="8">
        <v>340</v>
      </c>
      <c r="D124" s="13">
        <v>150000</v>
      </c>
      <c r="E124" s="17">
        <v>24127.5</v>
      </c>
      <c r="F124" s="17">
        <v>54077.78</v>
      </c>
      <c r="G124" s="17">
        <f t="shared" si="20"/>
        <v>32470</v>
      </c>
      <c r="H124" s="13"/>
      <c r="I124" s="13">
        <f>32470</f>
        <v>32470</v>
      </c>
      <c r="J124" s="17"/>
      <c r="K124" s="13"/>
      <c r="L124" s="17">
        <f t="shared" si="28"/>
        <v>110675.28</v>
      </c>
    </row>
    <row r="125" spans="1:12">
      <c r="A125" s="8"/>
      <c r="B125" s="8" t="s">
        <v>161</v>
      </c>
      <c r="C125" s="8">
        <v>340</v>
      </c>
      <c r="D125" s="13">
        <v>35000</v>
      </c>
      <c r="E125" s="17">
        <v>1524.2</v>
      </c>
      <c r="F125" s="17">
        <v>25921.8</v>
      </c>
      <c r="G125" s="17">
        <f t="shared" si="20"/>
        <v>11913.800000000001</v>
      </c>
      <c r="H125" s="13"/>
      <c r="I125" s="13"/>
      <c r="J125" s="17">
        <f>6252+1862.1+1059.5+1300</f>
        <v>10473.6</v>
      </c>
      <c r="K125" s="13">
        <f>1440.2</f>
        <v>1440.2</v>
      </c>
      <c r="L125" s="17">
        <f>E125+F125+G125+H125</f>
        <v>39359.800000000003</v>
      </c>
    </row>
    <row r="126" spans="1:12">
      <c r="A126" s="8"/>
      <c r="B126" s="11" t="s">
        <v>94</v>
      </c>
      <c r="C126" s="11"/>
      <c r="D126" s="16"/>
      <c r="E126" s="16">
        <f>D67+E68-E74</f>
        <v>12512.540000000037</v>
      </c>
      <c r="F126" s="16">
        <v>37460.720000000001</v>
      </c>
      <c r="G126" s="16">
        <f>F126+G68-G74</f>
        <v>17.520000000018626</v>
      </c>
      <c r="H126" s="16"/>
      <c r="I126" s="16">
        <f>F126+I68-I74</f>
        <v>6300.6500000000233</v>
      </c>
      <c r="J126" s="16">
        <f>I126+J68-J74</f>
        <v>26965.780000000028</v>
      </c>
      <c r="K126" s="16">
        <f>J126+K68-K74</f>
        <v>17.520000000018626</v>
      </c>
      <c r="L126" s="16">
        <f>E126+F126+G126+H126</f>
        <v>49990.780000000057</v>
      </c>
    </row>
    <row r="127" spans="1:12">
      <c r="A127" s="14"/>
      <c r="B127" s="14" t="s">
        <v>60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14"/>
    </row>
    <row r="128" spans="1:1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</row>
    <row r="129" spans="1:12">
      <c r="A129" s="14"/>
      <c r="B129" s="14" t="s">
        <v>61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8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4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5" spans="1:12">
      <c r="A135" s="1"/>
      <c r="B135" s="1" t="s">
        <v>95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67" t="s">
        <v>164</v>
      </c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</row>
    <row r="137" spans="1:12">
      <c r="A137" s="65" t="s">
        <v>0</v>
      </c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</row>
    <row r="138" spans="1:12">
      <c r="A138" s="63" t="s">
        <v>96</v>
      </c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</row>
    <row r="139" spans="1:12">
      <c r="A139" s="53" t="s">
        <v>2</v>
      </c>
      <c r="B139" s="55" t="s">
        <v>3</v>
      </c>
      <c r="C139" s="57" t="s">
        <v>4</v>
      </c>
      <c r="D139" s="55" t="s">
        <v>5</v>
      </c>
      <c r="E139" s="61" t="s">
        <v>6</v>
      </c>
      <c r="F139" s="48" t="s">
        <v>7</v>
      </c>
      <c r="G139" s="48" t="s">
        <v>8</v>
      </c>
      <c r="H139" s="48" t="s">
        <v>9</v>
      </c>
      <c r="I139" s="50" t="s">
        <v>10</v>
      </c>
      <c r="J139" s="51"/>
      <c r="K139" s="51"/>
      <c r="L139" s="52"/>
    </row>
    <row r="140" spans="1:12">
      <c r="A140" s="54"/>
      <c r="B140" s="56"/>
      <c r="C140" s="58"/>
      <c r="D140" s="56"/>
      <c r="E140" s="62"/>
      <c r="F140" s="49"/>
      <c r="G140" s="49"/>
      <c r="H140" s="49"/>
      <c r="I140" s="47" t="s">
        <v>155</v>
      </c>
      <c r="J140" s="47" t="s">
        <v>156</v>
      </c>
      <c r="K140" s="47" t="s">
        <v>157</v>
      </c>
      <c r="L140" s="4" t="s">
        <v>11</v>
      </c>
    </row>
    <row r="141" spans="1:12">
      <c r="A141" s="2"/>
      <c r="B141" s="46"/>
      <c r="C141" s="2"/>
      <c r="D141" s="45" t="s">
        <v>12</v>
      </c>
      <c r="E141" s="2"/>
      <c r="F141" s="2"/>
      <c r="G141" s="2"/>
      <c r="H141" s="2"/>
      <c r="I141" s="4" t="s">
        <v>13</v>
      </c>
      <c r="J141" s="4" t="s">
        <v>14</v>
      </c>
      <c r="K141" s="4" t="s">
        <v>14</v>
      </c>
      <c r="L141" s="4" t="s">
        <v>15</v>
      </c>
    </row>
    <row r="142" spans="1:12">
      <c r="A142" s="5">
        <v>1</v>
      </c>
      <c r="B142" s="5">
        <v>2</v>
      </c>
      <c r="C142" s="5">
        <v>3</v>
      </c>
      <c r="D142" s="5">
        <v>4</v>
      </c>
      <c r="E142" s="5">
        <v>5</v>
      </c>
      <c r="F142" s="5">
        <v>6</v>
      </c>
      <c r="G142" s="5">
        <v>7</v>
      </c>
      <c r="H142" s="5">
        <v>8</v>
      </c>
      <c r="I142" s="5">
        <v>9</v>
      </c>
      <c r="J142" s="5">
        <v>10</v>
      </c>
      <c r="K142" s="5">
        <v>11</v>
      </c>
      <c r="L142" s="5">
        <v>12</v>
      </c>
    </row>
    <row r="143" spans="1:12">
      <c r="A143" s="6">
        <v>1</v>
      </c>
      <c r="B143" s="27" t="s">
        <v>16</v>
      </c>
      <c r="C143" s="6"/>
      <c r="D143" s="12"/>
      <c r="E143" s="6"/>
      <c r="F143" s="6"/>
      <c r="G143" s="6"/>
      <c r="H143" s="6"/>
      <c r="I143" s="6"/>
      <c r="J143" s="6"/>
      <c r="K143" s="6"/>
      <c r="L143" s="6"/>
    </row>
    <row r="144" spans="1:12">
      <c r="A144" s="6">
        <v>2</v>
      </c>
      <c r="B144" s="6" t="s">
        <v>17</v>
      </c>
      <c r="C144" s="6">
        <v>180</v>
      </c>
      <c r="D144" s="12">
        <f>D145</f>
        <v>197604.75</v>
      </c>
      <c r="E144" s="12"/>
      <c r="F144" s="12">
        <f>197604.75</f>
        <v>197604.75</v>
      </c>
      <c r="G144" s="12"/>
      <c r="H144" s="12"/>
      <c r="I144" s="12"/>
      <c r="J144" s="12"/>
      <c r="K144" s="12"/>
      <c r="L144" s="12">
        <f>E144+F144+G144+H144</f>
        <v>197604.75</v>
      </c>
    </row>
    <row r="145" spans="1:12">
      <c r="A145" s="6">
        <v>3</v>
      </c>
      <c r="B145" s="6" t="s">
        <v>18</v>
      </c>
      <c r="C145" s="6">
        <v>200</v>
      </c>
      <c r="D145" s="12">
        <f>D147</f>
        <v>197604.75</v>
      </c>
      <c r="E145" s="12"/>
      <c r="F145" s="12">
        <v>79613.95</v>
      </c>
      <c r="G145" s="12">
        <f>I145+J145+K145</f>
        <v>117269.61</v>
      </c>
      <c r="H145" s="12"/>
      <c r="I145" s="12">
        <f t="shared" ref="I145:K146" si="29">I146</f>
        <v>48468.659999999996</v>
      </c>
      <c r="J145" s="12">
        <f t="shared" si="29"/>
        <v>56109.810000000005</v>
      </c>
      <c r="K145" s="12">
        <f t="shared" si="29"/>
        <v>12691.14</v>
      </c>
      <c r="L145" s="12">
        <f>E145+F145+G145+H145</f>
        <v>196883.56</v>
      </c>
    </row>
    <row r="146" spans="1:12">
      <c r="A146" s="11" t="s">
        <v>45</v>
      </c>
      <c r="B146" s="11" t="s">
        <v>46</v>
      </c>
      <c r="C146" s="11">
        <v>226</v>
      </c>
      <c r="D146" s="16">
        <f>D147</f>
        <v>197604.75</v>
      </c>
      <c r="E146" s="12"/>
      <c r="F146" s="12">
        <v>79613.95</v>
      </c>
      <c r="G146" s="12">
        <f t="shared" ref="G146:G147" si="30">I146+J146+K146</f>
        <v>117269.61</v>
      </c>
      <c r="H146" s="16"/>
      <c r="I146" s="30">
        <f t="shared" si="29"/>
        <v>48468.659999999996</v>
      </c>
      <c r="J146" s="30">
        <f t="shared" si="29"/>
        <v>56109.810000000005</v>
      </c>
      <c r="K146" s="30">
        <f t="shared" si="29"/>
        <v>12691.14</v>
      </c>
      <c r="L146" s="12">
        <f>E146+F146+G146+H146</f>
        <v>196883.56</v>
      </c>
    </row>
    <row r="147" spans="1:12">
      <c r="A147" s="8"/>
      <c r="B147" s="8" t="s">
        <v>97</v>
      </c>
      <c r="C147" s="8">
        <v>226</v>
      </c>
      <c r="D147" s="16">
        <f>197604.75</f>
        <v>197604.75</v>
      </c>
      <c r="E147" s="12"/>
      <c r="F147" s="12">
        <v>79613.95</v>
      </c>
      <c r="G147" s="12">
        <f t="shared" si="30"/>
        <v>117269.61</v>
      </c>
      <c r="H147" s="13"/>
      <c r="I147" s="13">
        <f>841.68+3004.83+11772.41+5073.12+3812.28+7748.6+4827.14+1409.2+4000+744.12+3967+1268.28</f>
        <v>48468.659999999996</v>
      </c>
      <c r="J147" s="17">
        <f>1409.2+1815+9870.18+2288.09+89.71+1301.04+3716.19+401.3+144+529.97+163+6691.2+1602.09+1239+2113.8+210-704.6-704.6+12648.89+7574.75+3007+704.6</f>
        <v>56109.810000000005</v>
      </c>
      <c r="K147" s="17">
        <f>1409.2+5465.71+1267.08+70.68+949.39+1408.2+976.1+219+674.33+156.32+6.14+88.99</f>
        <v>12691.14</v>
      </c>
      <c r="L147" s="12">
        <f>E147+F147+G147+H147</f>
        <v>196883.56</v>
      </c>
    </row>
    <row r="148" spans="1:12">
      <c r="A148" s="8"/>
      <c r="B148" s="8"/>
      <c r="C148" s="8"/>
      <c r="D148" s="13"/>
      <c r="E148" s="17"/>
      <c r="F148" s="13"/>
      <c r="G148" s="13"/>
      <c r="H148" s="13"/>
      <c r="I148" s="13"/>
      <c r="J148" s="13"/>
      <c r="K148" s="17"/>
      <c r="L148" s="17"/>
    </row>
    <row r="149" spans="1:12">
      <c r="A149" s="11"/>
      <c r="B149" s="11" t="s">
        <v>59</v>
      </c>
      <c r="C149" s="11"/>
      <c r="D149" s="16"/>
      <c r="E149" s="16">
        <f>D143+E144-E145</f>
        <v>0</v>
      </c>
      <c r="F149" s="16">
        <f>E149+F144-F145</f>
        <v>117990.8</v>
      </c>
      <c r="G149" s="16">
        <f>F149+G144-G145</f>
        <v>721.19000000000233</v>
      </c>
      <c r="H149" s="16"/>
      <c r="I149" s="16">
        <f>F149+I144-I145</f>
        <v>69522.140000000014</v>
      </c>
      <c r="J149" s="16">
        <f>I149+J144-J145</f>
        <v>13412.330000000009</v>
      </c>
      <c r="K149" s="16">
        <f>J149+K144-K145</f>
        <v>721.1900000000096</v>
      </c>
      <c r="L149" s="16"/>
    </row>
    <row r="150" spans="1:12">
      <c r="A150" s="14"/>
      <c r="B150" s="14" t="s">
        <v>60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</row>
    <row r="151" spans="1:12">
      <c r="A151" s="14"/>
      <c r="B151" s="14" t="s">
        <v>61</v>
      </c>
      <c r="C151" s="14"/>
      <c r="D151" s="14"/>
      <c r="E151" s="14"/>
      <c r="F151" s="18"/>
      <c r="G151" s="18"/>
      <c r="H151" s="14"/>
      <c r="I151" s="14"/>
      <c r="J151" s="14"/>
      <c r="K151" s="14"/>
      <c r="L151" s="14"/>
    </row>
    <row r="152" spans="1:12">
      <c r="F152" t="s">
        <v>114</v>
      </c>
    </row>
  </sheetData>
  <mergeCells count="37">
    <mergeCell ref="G139:G140"/>
    <mergeCell ref="H139:H140"/>
    <mergeCell ref="I139:L139"/>
    <mergeCell ref="A139:A140"/>
    <mergeCell ref="B139:B140"/>
    <mergeCell ref="C139:C140"/>
    <mergeCell ref="D139:D140"/>
    <mergeCell ref="E139:E140"/>
    <mergeCell ref="F139:F140"/>
    <mergeCell ref="A138:L138"/>
    <mergeCell ref="A63:A64"/>
    <mergeCell ref="B63:B64"/>
    <mergeCell ref="C63:C64"/>
    <mergeCell ref="D63:D64"/>
    <mergeCell ref="E63:E64"/>
    <mergeCell ref="F63:F64"/>
    <mergeCell ref="G63:G64"/>
    <mergeCell ref="H63:H64"/>
    <mergeCell ref="I63:L63"/>
    <mergeCell ref="A136:L136"/>
    <mergeCell ref="A137:L137"/>
    <mergeCell ref="A62:L62"/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A59:L59"/>
    <mergeCell ref="A60:L60"/>
    <mergeCell ref="A61:L6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кв.2017</vt:lpstr>
      <vt:lpstr>2 кв.2017 (2)</vt:lpstr>
      <vt:lpstr>3 кв.2017 (3)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Березка</cp:lastModifiedBy>
  <cp:lastPrinted>2017-10-05T06:14:40Z</cp:lastPrinted>
  <dcterms:created xsi:type="dcterms:W3CDTF">2017-01-24T04:44:32Z</dcterms:created>
  <dcterms:modified xsi:type="dcterms:W3CDTF">2017-10-10T15:55:58Z</dcterms:modified>
</cp:coreProperties>
</file>